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ECBB2010-ED70-4845-B602-7E750AC697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APSALU VEEVÄRK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7" i="2" l="1"/>
  <c r="D54" i="2" l="1"/>
  <c r="E54" i="2" s="1"/>
  <c r="F54" i="2" s="1"/>
  <c r="C53" i="2" l="1"/>
  <c r="D53" i="2" s="1"/>
  <c r="C52" i="2"/>
  <c r="D52" i="2" s="1"/>
  <c r="C51" i="2"/>
  <c r="D51" i="2" s="1"/>
  <c r="C50" i="2"/>
  <c r="D50" i="2" s="1"/>
  <c r="C49" i="2"/>
  <c r="D49" i="2" s="1"/>
  <c r="E50" i="2" l="1"/>
  <c r="F50" i="2" s="1"/>
  <c r="G50" i="2" s="1"/>
  <c r="H50" i="2" s="1"/>
  <c r="I50" i="2" s="1"/>
  <c r="J50" i="2" s="1"/>
  <c r="E52" i="2"/>
  <c r="F52" i="2" s="1"/>
  <c r="G52" i="2" s="1"/>
  <c r="H52" i="2" s="1"/>
  <c r="I52" i="2" s="1"/>
  <c r="J52" i="2" s="1"/>
  <c r="E49" i="2"/>
  <c r="F49" i="2" s="1"/>
  <c r="G49" i="2" s="1"/>
  <c r="H49" i="2" s="1"/>
  <c r="I49" i="2" s="1"/>
  <c r="J49" i="2" s="1"/>
  <c r="E51" i="2"/>
  <c r="F51" i="2" s="1"/>
  <c r="G51" i="2" s="1"/>
  <c r="H51" i="2" s="1"/>
  <c r="I51" i="2" s="1"/>
  <c r="J51" i="2" s="1"/>
  <c r="E53" i="2"/>
  <c r="F53" i="2" s="1"/>
  <c r="G53" i="2" s="1"/>
  <c r="H53" i="2" s="1"/>
  <c r="I53" i="2" s="1"/>
  <c r="J53" i="2" s="1"/>
  <c r="G96" i="2"/>
  <c r="H96" i="2"/>
  <c r="I96" i="2"/>
  <c r="J96" i="2"/>
  <c r="F96" i="2"/>
  <c r="K96" i="2"/>
  <c r="L96" i="2"/>
  <c r="M96" i="2"/>
  <c r="N96" i="2"/>
  <c r="O96" i="2"/>
  <c r="K53" i="2" l="1"/>
  <c r="L53" i="2" s="1"/>
  <c r="M53" i="2" s="1"/>
  <c r="N53" i="2" s="1"/>
  <c r="O53" i="2" s="1"/>
  <c r="K51" i="2"/>
  <c r="L51" i="2" s="1"/>
  <c r="M51" i="2" s="1"/>
  <c r="N51" i="2" s="1"/>
  <c r="O51" i="2" s="1"/>
  <c r="K49" i="2"/>
  <c r="L49" i="2" s="1"/>
  <c r="M49" i="2" s="1"/>
  <c r="N49" i="2" s="1"/>
  <c r="O49" i="2" s="1"/>
  <c r="K52" i="2"/>
  <c r="L52" i="2" s="1"/>
  <c r="M52" i="2" s="1"/>
  <c r="N52" i="2" s="1"/>
  <c r="O52" i="2" s="1"/>
  <c r="K50" i="2"/>
  <c r="L50" i="2" s="1"/>
  <c r="M50" i="2" s="1"/>
  <c r="N50" i="2" s="1"/>
  <c r="O50" i="2" s="1"/>
  <c r="C64" i="2"/>
  <c r="G54" i="2" l="1"/>
  <c r="H54" i="2" s="1"/>
  <c r="I54" i="2" s="1"/>
  <c r="C46" i="2"/>
  <c r="D46" i="2" s="1"/>
  <c r="E46" i="2" s="1"/>
  <c r="F46" i="2" s="1"/>
  <c r="G46" i="2" s="1"/>
  <c r="H46" i="2" s="1"/>
  <c r="I46" i="2" s="1"/>
  <c r="J46" i="2" s="1"/>
  <c r="K46" i="2" s="1"/>
  <c r="L46" i="2" s="1"/>
  <c r="M46" i="2" s="1"/>
  <c r="N46" i="2" s="1"/>
  <c r="O46" i="2" s="1"/>
  <c r="J54" i="2" l="1"/>
  <c r="K54" i="2" s="1"/>
  <c r="C66" i="2"/>
  <c r="C65" i="2"/>
  <c r="C67" i="2" s="1"/>
  <c r="C58" i="2"/>
  <c r="G58" i="2"/>
  <c r="J58" i="2"/>
  <c r="F58" i="2"/>
  <c r="I58" i="2"/>
  <c r="H58" i="2"/>
  <c r="E58" i="2"/>
  <c r="D58" i="2"/>
  <c r="L54" i="2" l="1"/>
  <c r="K58" i="2"/>
  <c r="D65" i="2"/>
  <c r="D66" i="2"/>
  <c r="C43" i="2"/>
  <c r="D43" i="2" s="1"/>
  <c r="E43" i="2" s="1"/>
  <c r="F43" i="2" s="1"/>
  <c r="G43" i="2" s="1"/>
  <c r="H43" i="2" s="1"/>
  <c r="I43" i="2" s="1"/>
  <c r="J43" i="2" s="1"/>
  <c r="K43" i="2" s="1"/>
  <c r="L43" i="2" s="1"/>
  <c r="M43" i="2" s="1"/>
  <c r="N43" i="2" s="1"/>
  <c r="O43" i="2" s="1"/>
  <c r="C44" i="2"/>
  <c r="D44" i="2" s="1"/>
  <c r="E44" i="2" s="1"/>
  <c r="F44" i="2" s="1"/>
  <c r="G44" i="2" s="1"/>
  <c r="H44" i="2" s="1"/>
  <c r="I44" i="2" s="1"/>
  <c r="J44" i="2" s="1"/>
  <c r="K44" i="2" s="1"/>
  <c r="L44" i="2" s="1"/>
  <c r="M44" i="2" s="1"/>
  <c r="N44" i="2" s="1"/>
  <c r="O44" i="2" s="1"/>
  <c r="C45" i="2"/>
  <c r="D45" i="2" s="1"/>
  <c r="E45" i="2" s="1"/>
  <c r="F45" i="2" s="1"/>
  <c r="G45" i="2" s="1"/>
  <c r="H45" i="2" s="1"/>
  <c r="I45" i="2" s="1"/>
  <c r="J45" i="2" s="1"/>
  <c r="K45" i="2" s="1"/>
  <c r="L45" i="2" s="1"/>
  <c r="M45" i="2" s="1"/>
  <c r="N45" i="2" s="1"/>
  <c r="O45" i="2" s="1"/>
  <c r="C42" i="2"/>
  <c r="B41" i="2"/>
  <c r="C34" i="2"/>
  <c r="C35" i="2" s="1"/>
  <c r="B35" i="2"/>
  <c r="M54" i="2" l="1"/>
  <c r="L58" i="2"/>
  <c r="E66" i="2"/>
  <c r="D67" i="2"/>
  <c r="E65" i="2"/>
  <c r="F65" i="2"/>
  <c r="C56" i="2"/>
  <c r="C41" i="2"/>
  <c r="D42" i="2"/>
  <c r="C32" i="2"/>
  <c r="D32" i="2" s="1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N54" i="2" l="1"/>
  <c r="N58" i="2" s="1"/>
  <c r="M58" i="2"/>
  <c r="E67" i="2"/>
  <c r="F66" i="2"/>
  <c r="F67" i="2" s="1"/>
  <c r="D34" i="2"/>
  <c r="D35" i="2" s="1"/>
  <c r="C70" i="2"/>
  <c r="E42" i="2"/>
  <c r="D41" i="2"/>
  <c r="B23" i="2"/>
  <c r="B16" i="2"/>
  <c r="D27" i="2"/>
  <c r="E27" i="2" s="1"/>
  <c r="F27" i="2" s="1"/>
  <c r="G27" i="2" s="1"/>
  <c r="H27" i="2" s="1"/>
  <c r="I27" i="2" s="1"/>
  <c r="J27" i="2" s="1"/>
  <c r="K27" i="2" s="1"/>
  <c r="L27" i="2" s="1"/>
  <c r="M27" i="2" s="1"/>
  <c r="N27" i="2" s="1"/>
  <c r="O27" i="2" s="1"/>
  <c r="D26" i="2"/>
  <c r="E26" i="2" s="1"/>
  <c r="F26" i="2" s="1"/>
  <c r="G26" i="2" s="1"/>
  <c r="H26" i="2" s="1"/>
  <c r="I26" i="2" s="1"/>
  <c r="J26" i="2" s="1"/>
  <c r="K26" i="2" s="1"/>
  <c r="L26" i="2" s="1"/>
  <c r="M26" i="2" s="1"/>
  <c r="N26" i="2" s="1"/>
  <c r="O26" i="2" s="1"/>
  <c r="C16" i="2"/>
  <c r="C17" i="2"/>
  <c r="C23" i="2"/>
  <c r="C22" i="2"/>
  <c r="B22" i="2"/>
  <c r="C14" i="2"/>
  <c r="C11" i="2" s="1"/>
  <c r="B14" i="2"/>
  <c r="B11" i="2" s="1"/>
  <c r="B17" i="2"/>
  <c r="B10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B5" i="2"/>
  <c r="C5" i="2"/>
  <c r="D28" i="2" s="1"/>
  <c r="E28" i="2" s="1"/>
  <c r="F28" i="2" s="1"/>
  <c r="G28" i="2" s="1"/>
  <c r="H28" i="2" s="1"/>
  <c r="I28" i="2" s="1"/>
  <c r="J28" i="2" s="1"/>
  <c r="K28" i="2" s="1"/>
  <c r="L28" i="2" s="1"/>
  <c r="M28" i="2" s="1"/>
  <c r="N28" i="2" s="1"/>
  <c r="O28" i="2" s="1"/>
  <c r="D5" i="2"/>
  <c r="E5" i="2"/>
  <c r="F5" i="2"/>
  <c r="G5" i="2"/>
  <c r="H5" i="2"/>
  <c r="I5" i="2"/>
  <c r="J5" i="2"/>
  <c r="K5" i="2"/>
  <c r="L5" i="2"/>
  <c r="M5" i="2"/>
  <c r="N5" i="2"/>
  <c r="O5" i="2"/>
  <c r="B6" i="2"/>
  <c r="C6" i="2" s="1"/>
  <c r="D6" i="2" s="1"/>
  <c r="E6" i="2" s="1"/>
  <c r="F6" i="2" s="1"/>
  <c r="G6" i="2" s="1"/>
  <c r="H6" i="2" s="1"/>
  <c r="I6" i="2" s="1"/>
  <c r="J6" i="2" s="1"/>
  <c r="K6" i="2" s="1"/>
  <c r="L6" i="2" s="1"/>
  <c r="C13" i="2"/>
  <c r="C10" i="2" s="1"/>
  <c r="D40" i="2"/>
  <c r="D11" i="2" l="1"/>
  <c r="E11" i="2" s="1"/>
  <c r="F11" i="2" s="1"/>
  <c r="O54" i="2"/>
  <c r="O58" i="2" s="1"/>
  <c r="G66" i="2"/>
  <c r="G65" i="2"/>
  <c r="E40" i="2"/>
  <c r="E56" i="2" s="1"/>
  <c r="E70" i="2" s="1"/>
  <c r="D56" i="2"/>
  <c r="D70" i="2" s="1"/>
  <c r="F42" i="2"/>
  <c r="E41" i="2"/>
  <c r="E14" i="2" s="1"/>
  <c r="C30" i="2"/>
  <c r="C98" i="2" s="1"/>
  <c r="D10" i="2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C8" i="2"/>
  <c r="B30" i="2"/>
  <c r="B9" i="2"/>
  <c r="D21" i="2"/>
  <c r="E21" i="2" s="1"/>
  <c r="F21" i="2" s="1"/>
  <c r="G21" i="2" s="1"/>
  <c r="H21" i="2" s="1"/>
  <c r="I21" i="2" s="1"/>
  <c r="J21" i="2" s="1"/>
  <c r="K21" i="2" s="1"/>
  <c r="L21" i="2" s="1"/>
  <c r="M21" i="2" s="1"/>
  <c r="N21" i="2" s="1"/>
  <c r="O21" i="2" s="1"/>
  <c r="D14" i="2"/>
  <c r="D13" i="2"/>
  <c r="B8" i="2"/>
  <c r="D23" i="2"/>
  <c r="E23" i="2" s="1"/>
  <c r="F23" i="2" s="1"/>
  <c r="G23" i="2" s="1"/>
  <c r="H23" i="2" s="1"/>
  <c r="I23" i="2" s="1"/>
  <c r="J23" i="2" s="1"/>
  <c r="K23" i="2" s="1"/>
  <c r="L23" i="2" s="1"/>
  <c r="M23" i="2" s="1"/>
  <c r="N23" i="2" s="1"/>
  <c r="O23" i="2" s="1"/>
  <c r="D22" i="2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D24" i="2"/>
  <c r="E24" i="2" s="1"/>
  <c r="F24" i="2" s="1"/>
  <c r="G24" i="2" s="1"/>
  <c r="H24" i="2" s="1"/>
  <c r="I24" i="2" s="1"/>
  <c r="J24" i="2" s="1"/>
  <c r="K24" i="2" s="1"/>
  <c r="L24" i="2" s="1"/>
  <c r="M24" i="2" s="1"/>
  <c r="N24" i="2" s="1"/>
  <c r="O24" i="2" s="1"/>
  <c r="E13" i="2" l="1"/>
  <c r="G67" i="2"/>
  <c r="F40" i="2"/>
  <c r="F56" i="2" s="1"/>
  <c r="H65" i="2"/>
  <c r="H66" i="2"/>
  <c r="E18" i="2"/>
  <c r="E34" i="2"/>
  <c r="F34" i="2"/>
  <c r="G42" i="2"/>
  <c r="F41" i="2"/>
  <c r="F14" i="2" s="1"/>
  <c r="D18" i="2"/>
  <c r="D19" i="2"/>
  <c r="E19" i="2"/>
  <c r="D8" i="2"/>
  <c r="D16" i="2" s="1"/>
  <c r="G40" i="2"/>
  <c r="D94" i="2"/>
  <c r="E94" i="2" s="1"/>
  <c r="F94" i="2" s="1"/>
  <c r="G94" i="2" s="1"/>
  <c r="H94" i="2" s="1"/>
  <c r="I94" i="2" s="1"/>
  <c r="J94" i="2" s="1"/>
  <c r="K94" i="2" s="1"/>
  <c r="L94" i="2" s="1"/>
  <c r="M94" i="2" s="1"/>
  <c r="N94" i="2" s="1"/>
  <c r="O94" i="2" s="1"/>
  <c r="D72" i="2"/>
  <c r="E72" i="2" s="1"/>
  <c r="F72" i="2" s="1"/>
  <c r="G72" i="2" s="1"/>
  <c r="H72" i="2" s="1"/>
  <c r="I72" i="2" s="1"/>
  <c r="J72" i="2" s="1"/>
  <c r="K72" i="2" s="1"/>
  <c r="L72" i="2" s="1"/>
  <c r="M72" i="2" s="1"/>
  <c r="N72" i="2" s="1"/>
  <c r="O72" i="2" s="1"/>
  <c r="D87" i="2"/>
  <c r="E87" i="2" s="1"/>
  <c r="F87" i="2" s="1"/>
  <c r="G87" i="2" s="1"/>
  <c r="H87" i="2" s="1"/>
  <c r="I87" i="2" s="1"/>
  <c r="J87" i="2" s="1"/>
  <c r="K87" i="2" s="1"/>
  <c r="L87" i="2" s="1"/>
  <c r="M87" i="2" s="1"/>
  <c r="N87" i="2" s="1"/>
  <c r="O87" i="2" s="1"/>
  <c r="F13" i="2" l="1"/>
  <c r="F18" i="2" s="1"/>
  <c r="I66" i="2"/>
  <c r="H67" i="2"/>
  <c r="I65" i="2"/>
  <c r="G34" i="2"/>
  <c r="F70" i="2"/>
  <c r="G56" i="2"/>
  <c r="G70" i="2" s="1"/>
  <c r="F19" i="2"/>
  <c r="H42" i="2"/>
  <c r="G41" i="2"/>
  <c r="G14" i="2" s="1"/>
  <c r="E8" i="2"/>
  <c r="E16" i="2" s="1"/>
  <c r="G11" i="2"/>
  <c r="H11" i="2" s="1"/>
  <c r="H40" i="2"/>
  <c r="G13" i="2"/>
  <c r="G18" i="2" s="1"/>
  <c r="D90" i="2"/>
  <c r="E90" i="2"/>
  <c r="F90" i="2"/>
  <c r="G90" i="2"/>
  <c r="H90" i="2"/>
  <c r="I90" i="2"/>
  <c r="J90" i="2"/>
  <c r="K90" i="2"/>
  <c r="L90" i="2"/>
  <c r="M90" i="2"/>
  <c r="N90" i="2"/>
  <c r="O90" i="2"/>
  <c r="C90" i="2"/>
  <c r="I67" i="2" l="1"/>
  <c r="J65" i="2"/>
  <c r="J66" i="2"/>
  <c r="H56" i="2"/>
  <c r="H70" i="2" s="1"/>
  <c r="F8" i="2"/>
  <c r="F16" i="2" s="1"/>
  <c r="I42" i="2"/>
  <c r="H41" i="2"/>
  <c r="H14" i="2" s="1"/>
  <c r="H19" i="2" s="1"/>
  <c r="G19" i="2"/>
  <c r="I40" i="2"/>
  <c r="H13" i="2"/>
  <c r="H18" i="2" s="1"/>
  <c r="I11" i="2"/>
  <c r="G8" i="2" l="1"/>
  <c r="G16" i="2" s="1"/>
  <c r="K66" i="2"/>
  <c r="K65" i="2"/>
  <c r="J67" i="2"/>
  <c r="I56" i="2"/>
  <c r="I70" i="2" s="1"/>
  <c r="J42" i="2"/>
  <c r="I41" i="2"/>
  <c r="I14" i="2" s="1"/>
  <c r="I19" i="2" s="1"/>
  <c r="J11" i="2"/>
  <c r="J40" i="2"/>
  <c r="I13" i="2"/>
  <c r="I18" i="2" s="1"/>
  <c r="E35" i="2"/>
  <c r="F35" i="2"/>
  <c r="G35" i="2"/>
  <c r="H35" i="2"/>
  <c r="I35" i="2"/>
  <c r="J35" i="2"/>
  <c r="K35" i="2"/>
  <c r="L35" i="2"/>
  <c r="M35" i="2"/>
  <c r="N35" i="2"/>
  <c r="O35" i="2"/>
  <c r="K67" i="2" l="1"/>
  <c r="H8" i="2"/>
  <c r="H16" i="2" s="1"/>
  <c r="J56" i="2"/>
  <c r="J70" i="2" s="1"/>
  <c r="L65" i="2"/>
  <c r="L66" i="2"/>
  <c r="K42" i="2"/>
  <c r="J41" i="2"/>
  <c r="J14" i="2" s="1"/>
  <c r="J19" i="2" s="1"/>
  <c r="K11" i="2"/>
  <c r="K40" i="2"/>
  <c r="J13" i="2"/>
  <c r="J18" i="2" s="1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D64" i="2"/>
  <c r="E64" i="2" s="1"/>
  <c r="F64" i="2" s="1"/>
  <c r="G64" i="2" s="1"/>
  <c r="H64" i="2" s="1"/>
  <c r="I64" i="2" s="1"/>
  <c r="J64" i="2" s="1"/>
  <c r="K64" i="2" s="1"/>
  <c r="L64" i="2" s="1"/>
  <c r="M64" i="2" s="1"/>
  <c r="N64" i="2" s="1"/>
  <c r="O64" i="2" s="1"/>
  <c r="D48" i="2"/>
  <c r="E48" i="2" s="1"/>
  <c r="F48" i="2" s="1"/>
  <c r="G48" i="2" s="1"/>
  <c r="H48" i="2" s="1"/>
  <c r="I48" i="2" s="1"/>
  <c r="J48" i="2" s="1"/>
  <c r="K48" i="2" s="1"/>
  <c r="L48" i="2" s="1"/>
  <c r="M48" i="2" s="1"/>
  <c r="N48" i="2" s="1"/>
  <c r="O48" i="2" s="1"/>
  <c r="C39" i="2"/>
  <c r="D39" i="2" s="1"/>
  <c r="E39" i="2" s="1"/>
  <c r="F39" i="2" s="1"/>
  <c r="G39" i="2" s="1"/>
  <c r="H39" i="2" s="1"/>
  <c r="I39" i="2" s="1"/>
  <c r="J39" i="2" s="1"/>
  <c r="K39" i="2" s="1"/>
  <c r="L39" i="2" s="1"/>
  <c r="M39" i="2" s="1"/>
  <c r="N39" i="2" s="1"/>
  <c r="O39" i="2" s="1"/>
  <c r="I8" i="2" l="1"/>
  <c r="I16" i="2" s="1"/>
  <c r="M66" i="2"/>
  <c r="L67" i="2"/>
  <c r="K56" i="2"/>
  <c r="K70" i="2" s="1"/>
  <c r="M65" i="2"/>
  <c r="L42" i="2"/>
  <c r="K41" i="2"/>
  <c r="K14" i="2" s="1"/>
  <c r="K19" i="2" s="1"/>
  <c r="J8" i="2"/>
  <c r="J16" i="2" s="1"/>
  <c r="L11" i="2"/>
  <c r="L40" i="2"/>
  <c r="K13" i="2"/>
  <c r="K18" i="2" s="1"/>
  <c r="D25" i="2"/>
  <c r="E25" i="2" s="1"/>
  <c r="F25" i="2" s="1"/>
  <c r="G25" i="2" s="1"/>
  <c r="H25" i="2" s="1"/>
  <c r="I25" i="2" s="1"/>
  <c r="J25" i="2" s="1"/>
  <c r="K25" i="2" s="1"/>
  <c r="L25" i="2" s="1"/>
  <c r="M25" i="2" s="1"/>
  <c r="N25" i="2" s="1"/>
  <c r="O25" i="2" s="1"/>
  <c r="B81" i="2"/>
  <c r="B83" i="2"/>
  <c r="M67" i="2" l="1"/>
  <c r="O65" i="2"/>
  <c r="N65" i="2"/>
  <c r="O66" i="2"/>
  <c r="N66" i="2"/>
  <c r="L56" i="2"/>
  <c r="L70" i="2" s="1"/>
  <c r="M42" i="2"/>
  <c r="L41" i="2"/>
  <c r="L14" i="2" s="1"/>
  <c r="L19" i="2" s="1"/>
  <c r="K8" i="2"/>
  <c r="K16" i="2" s="1"/>
  <c r="M11" i="2"/>
  <c r="M40" i="2"/>
  <c r="L13" i="2"/>
  <c r="L18" i="2" s="1"/>
  <c r="B80" i="2"/>
  <c r="B82" i="2" s="1"/>
  <c r="M56" i="2" l="1"/>
  <c r="M70" i="2" s="1"/>
  <c r="N67" i="2"/>
  <c r="O67" i="2"/>
  <c r="N42" i="2"/>
  <c r="M41" i="2"/>
  <c r="M14" i="2" s="1"/>
  <c r="M19" i="2" s="1"/>
  <c r="N40" i="2"/>
  <c r="N56" i="2" s="1"/>
  <c r="N70" i="2" s="1"/>
  <c r="M13" i="2"/>
  <c r="M18" i="2" s="1"/>
  <c r="N11" i="2"/>
  <c r="L8" i="2"/>
  <c r="L16" i="2" s="1"/>
  <c r="C80" i="2"/>
  <c r="C95" i="2"/>
  <c r="C101" i="2" s="1"/>
  <c r="D68" i="2"/>
  <c r="C68" i="2"/>
  <c r="C88" i="2"/>
  <c r="C73" i="2"/>
  <c r="O42" i="2" l="1"/>
  <c r="O41" i="2" s="1"/>
  <c r="O14" i="2" s="1"/>
  <c r="N41" i="2"/>
  <c r="N14" i="2" s="1"/>
  <c r="N19" i="2" s="1"/>
  <c r="M8" i="2"/>
  <c r="M16" i="2" s="1"/>
  <c r="O11" i="2"/>
  <c r="O19" i="2" s="1"/>
  <c r="O40" i="2"/>
  <c r="N13" i="2"/>
  <c r="N18" i="2" s="1"/>
  <c r="D80" i="2"/>
  <c r="D95" i="2"/>
  <c r="E80" i="2"/>
  <c r="E95" i="2"/>
  <c r="E68" i="2"/>
  <c r="D88" i="2"/>
  <c r="D73" i="2"/>
  <c r="E88" i="2"/>
  <c r="E73" i="2"/>
  <c r="F95" i="2"/>
  <c r="O13" i="2" l="1"/>
  <c r="O18" i="2" s="1"/>
  <c r="O56" i="2"/>
  <c r="O70" i="2" s="1"/>
  <c r="H34" i="2"/>
  <c r="N8" i="2"/>
  <c r="N16" i="2" s="1"/>
  <c r="F68" i="2"/>
  <c r="I34" i="2"/>
  <c r="G95" i="2"/>
  <c r="F80" i="2"/>
  <c r="F73" i="2"/>
  <c r="F88" i="2"/>
  <c r="O8" i="2" l="1"/>
  <c r="O16" i="2" s="1"/>
  <c r="G68" i="2"/>
  <c r="H95" i="2"/>
  <c r="G73" i="2"/>
  <c r="G88" i="2"/>
  <c r="G80" i="2"/>
  <c r="J34" i="2" l="1"/>
  <c r="H68" i="2"/>
  <c r="H88" i="2"/>
  <c r="H80" i="2"/>
  <c r="H73" i="2"/>
  <c r="K34" i="2"/>
  <c r="I95" i="2"/>
  <c r="I68" i="2" l="1"/>
  <c r="J95" i="2"/>
  <c r="I88" i="2"/>
  <c r="I80" i="2"/>
  <c r="I73" i="2"/>
  <c r="L34" i="2" l="1"/>
  <c r="J68" i="2"/>
  <c r="M34" i="2"/>
  <c r="K95" i="2"/>
  <c r="J88" i="2"/>
  <c r="J80" i="2"/>
  <c r="J73" i="2"/>
  <c r="K68" i="2" l="1"/>
  <c r="L95" i="2"/>
  <c r="K80" i="2"/>
  <c r="K73" i="2"/>
  <c r="K88" i="2"/>
  <c r="N34" i="2" l="1"/>
  <c r="L68" i="2"/>
  <c r="L80" i="2"/>
  <c r="L73" i="2"/>
  <c r="L88" i="2"/>
  <c r="O34" i="2"/>
  <c r="M95" i="2"/>
  <c r="M68" i="2" l="1"/>
  <c r="O95" i="2"/>
  <c r="M80" i="2"/>
  <c r="M73" i="2"/>
  <c r="M88" i="2"/>
  <c r="N95" i="2"/>
  <c r="O68" i="2" l="1"/>
  <c r="N68" i="2"/>
  <c r="O73" i="2"/>
  <c r="O88" i="2"/>
  <c r="O80" i="2"/>
  <c r="N80" i="2"/>
  <c r="N73" i="2"/>
  <c r="N88" i="2"/>
  <c r="C9" i="2" l="1"/>
  <c r="D9" i="2" s="1"/>
  <c r="D17" i="2" s="1"/>
  <c r="D30" i="2" s="1"/>
  <c r="C81" i="2"/>
  <c r="C82" i="2" s="1"/>
  <c r="D81" i="2" l="1"/>
  <c r="D82" i="2" s="1"/>
  <c r="D74" i="2"/>
  <c r="D75" i="2" s="1"/>
  <c r="D77" i="2" s="1"/>
  <c r="D89" i="2"/>
  <c r="D37" i="2"/>
  <c r="D59" i="2" s="1"/>
  <c r="D57" i="2" s="1"/>
  <c r="D98" i="2"/>
  <c r="D101" i="2" s="1"/>
  <c r="E9" i="2"/>
  <c r="C102" i="2"/>
  <c r="C74" i="2"/>
  <c r="C75" i="2" s="1"/>
  <c r="C77" i="2" s="1"/>
  <c r="C89" i="2"/>
  <c r="C37" i="2"/>
  <c r="C59" i="2" s="1"/>
  <c r="C57" i="2" s="1"/>
  <c r="D102" i="2" l="1"/>
  <c r="E17" i="2"/>
  <c r="E30" i="2" s="1"/>
  <c r="F9" i="2"/>
  <c r="D92" i="2"/>
  <c r="D91" i="2"/>
  <c r="C92" i="2"/>
  <c r="C91" i="2"/>
  <c r="F17" i="2" l="1"/>
  <c r="F30" i="2" s="1"/>
  <c r="G9" i="2"/>
  <c r="E89" i="2"/>
  <c r="E98" i="2"/>
  <c r="E101" i="2" s="1"/>
  <c r="E102" i="2" s="1"/>
  <c r="E37" i="2"/>
  <c r="E59" i="2" s="1"/>
  <c r="E57" i="2" s="1"/>
  <c r="E81" i="2"/>
  <c r="E82" i="2" s="1"/>
  <c r="E74" i="2"/>
  <c r="E75" i="2" s="1"/>
  <c r="E77" i="2" s="1"/>
  <c r="E92" i="2" l="1"/>
  <c r="E91" i="2"/>
  <c r="H9" i="2"/>
  <c r="G17" i="2"/>
  <c r="G30" i="2" s="1"/>
  <c r="F98" i="2"/>
  <c r="F101" i="2" s="1"/>
  <c r="F102" i="2" s="1"/>
  <c r="F89" i="2"/>
  <c r="F37" i="2"/>
  <c r="F59" i="2" s="1"/>
  <c r="F57" i="2" s="1"/>
  <c r="F74" i="2"/>
  <c r="F75" i="2" s="1"/>
  <c r="F77" i="2" s="1"/>
  <c r="F81" i="2"/>
  <c r="F82" i="2" s="1"/>
  <c r="F92" i="2" l="1"/>
  <c r="F91" i="2"/>
  <c r="H17" i="2"/>
  <c r="H30" i="2" s="1"/>
  <c r="I9" i="2"/>
  <c r="G37" i="2"/>
  <c r="G59" i="2" s="1"/>
  <c r="G57" i="2" s="1"/>
  <c r="G98" i="2"/>
  <c r="G101" i="2" s="1"/>
  <c r="G102" i="2" s="1"/>
  <c r="G89" i="2"/>
  <c r="G74" i="2"/>
  <c r="G75" i="2" s="1"/>
  <c r="G77" i="2" s="1"/>
  <c r="G81" i="2"/>
  <c r="G82" i="2" s="1"/>
  <c r="H89" i="2" l="1"/>
  <c r="H81" i="2"/>
  <c r="H82" i="2" s="1"/>
  <c r="H74" i="2"/>
  <c r="H75" i="2" s="1"/>
  <c r="H77" i="2" s="1"/>
  <c r="H37" i="2"/>
  <c r="H59" i="2" s="1"/>
  <c r="H57" i="2" s="1"/>
  <c r="H98" i="2"/>
  <c r="H101" i="2" s="1"/>
  <c r="H102" i="2" s="1"/>
  <c r="I17" i="2"/>
  <c r="I30" i="2" s="1"/>
  <c r="J9" i="2"/>
  <c r="G92" i="2"/>
  <c r="G91" i="2"/>
  <c r="K9" i="2" l="1"/>
  <c r="J17" i="2"/>
  <c r="J30" i="2" s="1"/>
  <c r="H91" i="2"/>
  <c r="H92" i="2"/>
  <c r="I89" i="2"/>
  <c r="I98" i="2"/>
  <c r="I101" i="2" s="1"/>
  <c r="I102" i="2" s="1"/>
  <c r="I37" i="2"/>
  <c r="I59" i="2" s="1"/>
  <c r="I57" i="2" s="1"/>
  <c r="I81" i="2"/>
  <c r="I82" i="2" s="1"/>
  <c r="I74" i="2"/>
  <c r="I75" i="2" s="1"/>
  <c r="I77" i="2" s="1"/>
  <c r="I91" i="2" l="1"/>
  <c r="I92" i="2"/>
  <c r="L9" i="2"/>
  <c r="K17" i="2"/>
  <c r="K30" i="2" s="1"/>
  <c r="J98" i="2"/>
  <c r="J101" i="2" s="1"/>
  <c r="J102" i="2" s="1"/>
  <c r="J37" i="2"/>
  <c r="J59" i="2" s="1"/>
  <c r="J57" i="2" s="1"/>
  <c r="J89" i="2"/>
  <c r="J74" i="2"/>
  <c r="J75" i="2" s="1"/>
  <c r="J77" i="2" s="1"/>
  <c r="J81" i="2"/>
  <c r="J82" i="2" s="1"/>
  <c r="M9" i="2" l="1"/>
  <c r="L17" i="2"/>
  <c r="L30" i="2" s="1"/>
  <c r="K89" i="2"/>
  <c r="K98" i="2"/>
  <c r="K101" i="2" s="1"/>
  <c r="K102" i="2" s="1"/>
  <c r="K81" i="2"/>
  <c r="K82" i="2" s="1"/>
  <c r="K74" i="2"/>
  <c r="K75" i="2" s="1"/>
  <c r="K77" i="2" s="1"/>
  <c r="K37" i="2"/>
  <c r="K59" i="2" s="1"/>
  <c r="K57" i="2" s="1"/>
  <c r="J92" i="2"/>
  <c r="J91" i="2"/>
  <c r="L74" i="2" l="1"/>
  <c r="L75" i="2" s="1"/>
  <c r="L77" i="2" s="1"/>
  <c r="L98" i="2"/>
  <c r="L101" i="2" s="1"/>
  <c r="L102" i="2" s="1"/>
  <c r="L37" i="2"/>
  <c r="L59" i="2" s="1"/>
  <c r="L57" i="2" s="1"/>
  <c r="L89" i="2"/>
  <c r="L81" i="2"/>
  <c r="L82" i="2" s="1"/>
  <c r="K92" i="2"/>
  <c r="K91" i="2"/>
  <c r="M17" i="2"/>
  <c r="M30" i="2" s="1"/>
  <c r="N9" i="2"/>
  <c r="L91" i="2" l="1"/>
  <c r="L92" i="2"/>
  <c r="N17" i="2"/>
  <c r="N30" i="2" s="1"/>
  <c r="O9" i="2"/>
  <c r="O17" i="2" s="1"/>
  <c r="O30" i="2" s="1"/>
  <c r="M89" i="2"/>
  <c r="M81" i="2"/>
  <c r="M82" i="2" s="1"/>
  <c r="M37" i="2"/>
  <c r="M59" i="2" s="1"/>
  <c r="M57" i="2" s="1"/>
  <c r="M98" i="2"/>
  <c r="M101" i="2" s="1"/>
  <c r="M102" i="2" s="1"/>
  <c r="M74" i="2"/>
  <c r="M75" i="2" s="1"/>
  <c r="M77" i="2" s="1"/>
  <c r="N98" i="2" l="1"/>
  <c r="N101" i="2" s="1"/>
  <c r="N102" i="2" s="1"/>
  <c r="N81" i="2"/>
  <c r="N82" i="2" s="1"/>
  <c r="N89" i="2"/>
  <c r="N37" i="2"/>
  <c r="N59" i="2" s="1"/>
  <c r="N57" i="2" s="1"/>
  <c r="N74" i="2"/>
  <c r="N75" i="2" s="1"/>
  <c r="N77" i="2" s="1"/>
  <c r="O37" i="2"/>
  <c r="O59" i="2" s="1"/>
  <c r="O57" i="2" s="1"/>
  <c r="O98" i="2"/>
  <c r="O101" i="2" s="1"/>
  <c r="O89" i="2"/>
  <c r="O74" i="2"/>
  <c r="O75" i="2" s="1"/>
  <c r="O77" i="2" s="1"/>
  <c r="O81" i="2"/>
  <c r="O82" i="2" s="1"/>
  <c r="M92" i="2"/>
  <c r="M91" i="2"/>
  <c r="O102" i="2" l="1"/>
  <c r="N92" i="2"/>
  <c r="N91" i="2"/>
  <c r="O92" i="2"/>
  <c r="O91" i="2"/>
</calcChain>
</file>

<file path=xl/sharedStrings.xml><?xml version="1.0" encoding="utf-8"?>
<sst xmlns="http://schemas.openxmlformats.org/spreadsheetml/2006/main" count="85" uniqueCount="77">
  <si>
    <t>Hinnamuutuse indeks</t>
  </si>
  <si>
    <t>Vee-erikasutustasu</t>
  </si>
  <si>
    <t>Tööjõukulu muutuse indeks</t>
  </si>
  <si>
    <t>TOOTMISMAHUD</t>
  </si>
  <si>
    <t>MUUTUVKULUD</t>
  </si>
  <si>
    <t>PÜSIKULUD</t>
  </si>
  <si>
    <t>Tööjõukulu</t>
  </si>
  <si>
    <t>Reovee saastetasu</t>
  </si>
  <si>
    <t>VESI MÜÜDUD KOKKU</t>
  </si>
  <si>
    <t>REOVESI MÜÜDUD KOKKU</t>
  </si>
  <si>
    <t>TEGEVUSKULUDE JA LAENUKATTKORDAJA TÄITMINE</t>
  </si>
  <si>
    <t>TEGEVUSTULUD</t>
  </si>
  <si>
    <t>Koondhinnamuutusindeks</t>
  </si>
  <si>
    <t>Elektrikulu reoveepuhasti ja -pumplad</t>
  </si>
  <si>
    <t>Elektrikulu joogiveevarustus</t>
  </si>
  <si>
    <t xml:space="preserve">Muud kulud </t>
  </si>
  <si>
    <t>FINANTSKOHUSTUSED</t>
  </si>
  <si>
    <t>TULUD KOKKU</t>
  </si>
  <si>
    <t>RAHAVOOG ENNE LAENUTEENINDUST</t>
  </si>
  <si>
    <t>LAENUKATTEKORDAJA</t>
  </si>
  <si>
    <t>TEGEVUSKULUD</t>
  </si>
  <si>
    <t>Teenuste kulu kuus keskmisel ühiktarbimisel</t>
  </si>
  <si>
    <t>Teenuse kulukus (%)</t>
  </si>
  <si>
    <t>OMAKAPITALI KULUM</t>
  </si>
  <si>
    <t>VEEMAJANDUSE EBITDA</t>
  </si>
  <si>
    <t>VEEMAJANDUSE TULEMINÄITAJAD</t>
  </si>
  <si>
    <t>TEGEVUSKULUD (KULUMITA)</t>
  </si>
  <si>
    <t>Reovesi reoveepuhastitesse (m3)</t>
  </si>
  <si>
    <t xml:space="preserve">Kaalutud keskmine elanike veetariif </t>
  </si>
  <si>
    <t xml:space="preserve">Kaalutud keskmine elanike reoveetariif </t>
  </si>
  <si>
    <t>VEEMAJANDUSE EBIT (OMAKAP.KULUMi KATMINE)</t>
  </si>
  <si>
    <t>Masinate ja kütuse kulud</t>
  </si>
  <si>
    <t>Hooldus (sh.kaubad, toore sisseost), vesi</t>
  </si>
  <si>
    <t>Hooldus (sh.kaubad, toore, sisseost), kanal.</t>
  </si>
  <si>
    <t>Sihtfinantseeringutevälise põhivara kulum</t>
  </si>
  <si>
    <t>Põhjendatud tulukus varadelt (WACC väärtusel 6,28%)</t>
  </si>
  <si>
    <t>Põhivara jääkmaksumus põhjendatud tulususe arvestamiseks</t>
  </si>
  <si>
    <t>Teenustariifi arvestatavate kulu- ja tulususkomponentide summa</t>
  </si>
  <si>
    <t>TARIIFIDE PROGNOOSTULU KOKKU</t>
  </si>
  <si>
    <t>RAHAVOOG (EBITDA) ENNE LAENUTEENINDUST</t>
  </si>
  <si>
    <t>VEEMAJANDUSE RAHAVOOGUDE PROGNOOS</t>
  </si>
  <si>
    <t>SISSETULEKUD: TEGEVUSTULUD</t>
  </si>
  <si>
    <t>VÄLJAMINEKUD: TEGEVUSKULUD</t>
  </si>
  <si>
    <t xml:space="preserve">VÄLJAMINEKUD: INVESTEERINGUD </t>
  </si>
  <si>
    <t>RAHAVOOG</t>
  </si>
  <si>
    <t>KUMULATIIVNE RAHAVOOG AL 2024</t>
  </si>
  <si>
    <t>VÄLJAMINEKUD: FINANTSKOHUSTUSED</t>
  </si>
  <si>
    <r>
      <t>MÜÜGIMAHT TEENUSPIIRKONNAS (M</t>
    </r>
    <r>
      <rPr>
        <b/>
        <sz val="11"/>
        <color theme="1"/>
        <rFont val="Calibri"/>
        <family val="2"/>
        <charset val="186"/>
      </rPr>
      <t>³)</t>
    </r>
  </si>
  <si>
    <t>Veetoodang (m3)</t>
  </si>
  <si>
    <t>sh reostusgrupp I</t>
  </si>
  <si>
    <t>sh reostusgrupp IV</t>
  </si>
  <si>
    <t>sh reostusgrupp III</t>
  </si>
  <si>
    <t>sh reostusgrupp II</t>
  </si>
  <si>
    <t>Kulud kemikaalidele</t>
  </si>
  <si>
    <t>Reoveesette käitlemise kulu</t>
  </si>
  <si>
    <t>IT ja kommunikatsiooniteenuste kulud</t>
  </si>
  <si>
    <t>VEEMAJANDUSTEENUSTE TEGEVUSKULUD KOKKU</t>
  </si>
  <si>
    <t>Käibekapitaliosa (5%) põhjendatud tulususe arvestamiseks</t>
  </si>
  <si>
    <t>Purgimine</t>
  </si>
  <si>
    <t>MUU VEETEENUSTE TULU</t>
  </si>
  <si>
    <t>Purgimistasu</t>
  </si>
  <si>
    <t>VEETEENUSTE PÕHJENDATUD TULUD (KONKURENTSIAMETI METOD.)</t>
  </si>
  <si>
    <r>
      <t>TEENUSTASUD TEENUSPIIRKONDADES m</t>
    </r>
    <r>
      <rPr>
        <b/>
        <sz val="11"/>
        <color theme="1"/>
        <rFont val="Calibri"/>
        <family val="2"/>
        <charset val="186"/>
      </rPr>
      <t>³</t>
    </r>
    <r>
      <rPr>
        <b/>
        <sz val="11"/>
        <color theme="1"/>
        <rFont val="Calibri"/>
        <family val="2"/>
        <charset val="186"/>
        <scheme val="minor"/>
      </rPr>
      <t xml:space="preserve"> kohta käibemaksuta</t>
    </r>
  </si>
  <si>
    <t>PÕHJENDATUD TARIIFITULUD</t>
  </si>
  <si>
    <t>Vesi</t>
  </si>
  <si>
    <t>Reovesi, reostusgrupp I</t>
  </si>
  <si>
    <t>Reovesi, reostusgrupp II</t>
  </si>
  <si>
    <t>Reovesi, reostusgrupp III</t>
  </si>
  <si>
    <t>Reovesi, reostusgrupp IV</t>
  </si>
  <si>
    <t>Elanike keskmine ühiktarbimine l/p/in</t>
  </si>
  <si>
    <t>Leibkonnaliikme keskmine sissetulek kuus (Läänemaa)</t>
  </si>
  <si>
    <t>SISSETULEKUD: INVESTEERINGULAENUDE VÕTMINE</t>
  </si>
  <si>
    <t>LAENUKATTEKORDAJA ARVESTUS</t>
  </si>
  <si>
    <t>SISSETULEKUD: EELMISTE PERIOODIDE KAPITALIRESERV INVESTEERINGUTEKS</t>
  </si>
  <si>
    <t>FINANTSKOHUSTUSTE KATMINE</t>
  </si>
  <si>
    <t>AS HAAPSALU VEEVÄRK VEETEENUSTE TEGEVUSKULUDE JA TARIIFIPROGNOOS</t>
  </si>
  <si>
    <t>Lisa 3. AS Haapsalu Veevärk finantsprognoos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</si>
</sst>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0.0"/>
    <numFmt numFmtId="167" formatCode="0.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86"/>
    </font>
    <font>
      <sz val="11"/>
      <color theme="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name val="Times New Roman"/>
      <family val="1"/>
      <charset val="186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12" fillId="0" borderId="0" applyFont="0" applyFill="0" applyBorder="0" applyAlignment="0" applyProtection="0"/>
    <xf numFmtId="0" fontId="1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8" fillId="2" borderId="1" xfId="0" applyFont="1" applyFill="1" applyBorder="1"/>
    <xf numFmtId="2" fontId="8" fillId="2" borderId="1" xfId="0" applyNumberFormat="1" applyFont="1" applyFill="1" applyBorder="1" applyAlignment="1">
      <alignment horizontal="center"/>
    </xf>
    <xf numFmtId="0" fontId="7" fillId="2" borderId="2" xfId="0" applyFont="1" applyFill="1" applyBorder="1"/>
    <xf numFmtId="0" fontId="8" fillId="2" borderId="0" xfId="0" applyFont="1" applyFill="1"/>
    <xf numFmtId="164" fontId="8" fillId="2" borderId="0" xfId="0" applyNumberFormat="1" applyFont="1" applyFill="1" applyAlignment="1">
      <alignment horizontal="center"/>
    </xf>
    <xf numFmtId="0" fontId="8" fillId="2" borderId="2" xfId="0" applyFont="1" applyFill="1" applyBorder="1"/>
    <xf numFmtId="0" fontId="0" fillId="2" borderId="0" xfId="0" applyFill="1"/>
    <xf numFmtId="1" fontId="9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6" fillId="2" borderId="1" xfId="0" applyFont="1" applyFill="1" applyBorder="1"/>
    <xf numFmtId="0" fontId="6" fillId="2" borderId="0" xfId="0" applyFont="1" applyFill="1"/>
    <xf numFmtId="0" fontId="9" fillId="2" borderId="0" xfId="0" applyFont="1" applyFill="1"/>
    <xf numFmtId="2" fontId="7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0" fillId="0" borderId="0" xfId="0" applyNumberFormat="1"/>
    <xf numFmtId="1" fontId="7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/>
    <xf numFmtId="1" fontId="7" fillId="2" borderId="0" xfId="0" applyNumberFormat="1" applyFont="1" applyFill="1" applyAlignment="1">
      <alignment horizontal="center"/>
    </xf>
    <xf numFmtId="0" fontId="13" fillId="2" borderId="1" xfId="0" applyFont="1" applyFill="1" applyBorder="1"/>
    <xf numFmtId="165" fontId="13" fillId="2" borderId="1" xfId="1" applyNumberFormat="1" applyFont="1" applyFill="1" applyBorder="1" applyAlignment="1">
      <alignment horizontal="center"/>
    </xf>
    <xf numFmtId="0" fontId="3" fillId="2" borderId="1" xfId="0" applyFont="1" applyFill="1" applyBorder="1"/>
    <xf numFmtId="165" fontId="8" fillId="2" borderId="1" xfId="3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0" fillId="0" borderId="0" xfId="0" applyNumberFormat="1"/>
    <xf numFmtId="1" fontId="15" fillId="2" borderId="1" xfId="0" applyNumberFormat="1" applyFont="1" applyFill="1" applyBorder="1" applyAlignment="1">
      <alignment horizontal="center"/>
    </xf>
    <xf numFmtId="0" fontId="15" fillId="2" borderId="0" xfId="0" applyFont="1" applyFill="1"/>
    <xf numFmtId="164" fontId="6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15" fillId="2" borderId="1" xfId="0" quotePrefix="1" applyNumberFormat="1" applyFont="1" applyFill="1" applyBorder="1" applyAlignment="1">
      <alignment horizontal="center"/>
    </xf>
    <xf numFmtId="2" fontId="9" fillId="2" borderId="1" xfId="0" quotePrefix="1" applyNumberFormat="1" applyFont="1" applyFill="1" applyBorder="1" applyAlignment="1">
      <alignment horizontal="center"/>
    </xf>
    <xf numFmtId="10" fontId="18" fillId="2" borderId="1" xfId="1" applyNumberFormat="1" applyFont="1" applyFill="1" applyBorder="1" applyAlignment="1">
      <alignment horizontal="center"/>
    </xf>
    <xf numFmtId="10" fontId="7" fillId="2" borderId="1" xfId="1" applyNumberFormat="1" applyFont="1" applyFill="1" applyBorder="1" applyAlignment="1">
      <alignment horizontal="center"/>
    </xf>
    <xf numFmtId="0" fontId="19" fillId="2" borderId="1" xfId="0" applyFont="1" applyFill="1" applyBorder="1"/>
    <xf numFmtId="0" fontId="9" fillId="2" borderId="1" xfId="0" applyFont="1" applyFill="1" applyBorder="1"/>
    <xf numFmtId="0" fontId="9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67" fontId="6" fillId="2" borderId="0" xfId="0" applyNumberFormat="1" applyFont="1" applyFill="1" applyAlignment="1">
      <alignment horizontal="center"/>
    </xf>
    <xf numFmtId="167" fontId="4" fillId="2" borderId="0" xfId="0" applyNumberFormat="1" applyFont="1" applyFill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65" fontId="9" fillId="2" borderId="1" xfId="5" applyNumberFormat="1" applyFont="1" applyFill="1" applyBorder="1" applyAlignment="1">
      <alignment horizontal="center"/>
    </xf>
    <xf numFmtId="1" fontId="15" fillId="2" borderId="0" xfId="0" applyNumberFormat="1" applyFont="1" applyFill="1"/>
    <xf numFmtId="0" fontId="10" fillId="2" borderId="1" xfId="0" applyFont="1" applyFill="1" applyBorder="1"/>
    <xf numFmtId="1" fontId="10" fillId="2" borderId="1" xfId="0" applyNumberFormat="1" applyFont="1" applyFill="1" applyBorder="1" applyAlignment="1">
      <alignment horizontal="center"/>
    </xf>
    <xf numFmtId="1" fontId="9" fillId="2" borderId="0" xfId="0" applyNumberFormat="1" applyFont="1" applyFill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16" fillId="2" borderId="1" xfId="0" applyFont="1" applyFill="1" applyBorder="1"/>
    <xf numFmtId="3" fontId="10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16" fillId="0" borderId="0" xfId="0" applyFont="1"/>
  </cellXfs>
  <cellStyles count="7">
    <cellStyle name="Normaallaad 2" xfId="5" xr:uid="{A4D3E4B3-2970-43DE-B274-E5FAB0131943}"/>
    <cellStyle name="Normaallaad 4" xfId="2" xr:uid="{00000000-0005-0000-0000-000000000000}"/>
    <cellStyle name="Normal" xfId="0" builtinId="0"/>
    <cellStyle name="Normal 2" xfId="3" xr:uid="{00000000-0005-0000-0000-000002000000}"/>
    <cellStyle name="Percent" xfId="1" builtinId="5"/>
    <cellStyle name="Percent 2" xfId="4" xr:uid="{00000000-0005-0000-0000-000004000000}"/>
    <cellStyle name="Protsent 2" xfId="6" xr:uid="{56187100-B403-47A7-B3B7-3149303A88C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A5423-49AE-4E53-ABC3-0B14BA8FF529}">
  <dimension ref="A1:R102"/>
  <sheetViews>
    <sheetView tabSelected="1" topLeftCell="A36" zoomScale="91" zoomScaleNormal="91" workbookViewId="0">
      <selection activeCell="A12" sqref="A12"/>
    </sheetView>
  </sheetViews>
  <sheetFormatPr defaultRowHeight="14.5" x14ac:dyDescent="0.35"/>
  <cols>
    <col min="1" max="1" width="67.7265625" customWidth="1"/>
    <col min="2" max="2" width="11.54296875" hidden="1" customWidth="1"/>
    <col min="3" max="3" width="11.1796875" customWidth="1"/>
    <col min="4" max="4" width="11" customWidth="1"/>
    <col min="5" max="5" width="11.54296875" customWidth="1"/>
    <col min="6" max="6" width="10.6328125" customWidth="1"/>
    <col min="7" max="7" width="11.90625" customWidth="1"/>
    <col min="8" max="8" width="11.6328125" customWidth="1"/>
    <col min="9" max="9" width="11.1796875" customWidth="1"/>
    <col min="10" max="10" width="12.1796875" customWidth="1"/>
    <col min="11" max="11" width="12.54296875" customWidth="1"/>
    <col min="12" max="12" width="12.6328125" customWidth="1"/>
    <col min="13" max="13" width="11.453125" customWidth="1"/>
    <col min="14" max="15" width="11.90625" customWidth="1"/>
    <col min="17" max="17" width="11.1796875" customWidth="1"/>
    <col min="18" max="18" width="10.1796875" customWidth="1"/>
    <col min="19" max="19" width="11" customWidth="1"/>
  </cols>
  <sheetData>
    <row r="1" spans="1:18" x14ac:dyDescent="0.35">
      <c r="A1" s="57" t="s">
        <v>76</v>
      </c>
    </row>
    <row r="3" spans="1:18" x14ac:dyDescent="0.35">
      <c r="A3" s="38" t="s">
        <v>75</v>
      </c>
      <c r="B3" s="41">
        <v>2023</v>
      </c>
      <c r="C3" s="41">
        <f t="shared" ref="C3:O3" si="0">B3+1</f>
        <v>2024</v>
      </c>
      <c r="D3" s="41">
        <f t="shared" si="0"/>
        <v>2025</v>
      </c>
      <c r="E3" s="41">
        <f t="shared" si="0"/>
        <v>2026</v>
      </c>
      <c r="F3" s="41">
        <f t="shared" si="0"/>
        <v>2027</v>
      </c>
      <c r="G3" s="41">
        <f t="shared" si="0"/>
        <v>2028</v>
      </c>
      <c r="H3" s="41">
        <f t="shared" si="0"/>
        <v>2029</v>
      </c>
      <c r="I3" s="41">
        <f t="shared" si="0"/>
        <v>2030</v>
      </c>
      <c r="J3" s="41">
        <f t="shared" si="0"/>
        <v>2031</v>
      </c>
      <c r="K3" s="41">
        <f t="shared" si="0"/>
        <v>2032</v>
      </c>
      <c r="L3" s="41">
        <f t="shared" si="0"/>
        <v>2033</v>
      </c>
      <c r="M3" s="41">
        <f t="shared" si="0"/>
        <v>2034</v>
      </c>
      <c r="N3" s="41">
        <f t="shared" si="0"/>
        <v>2035</v>
      </c>
      <c r="O3" s="41">
        <f t="shared" si="0"/>
        <v>2036</v>
      </c>
    </row>
    <row r="4" spans="1:18" ht="13.75" customHeight="1" x14ac:dyDescent="0.35">
      <c r="A4" s="20" t="s">
        <v>0</v>
      </c>
      <c r="B4" s="45">
        <v>9.5600000000000004E-2</v>
      </c>
      <c r="C4" s="45">
        <v>3.7999999999999999E-2</v>
      </c>
      <c r="D4" s="23">
        <v>0.05</v>
      </c>
      <c r="E4" s="23">
        <v>3.2000000000000001E-2</v>
      </c>
      <c r="F4" s="23">
        <v>2.3E-2</v>
      </c>
      <c r="G4" s="23">
        <v>2.1999999999999999E-2</v>
      </c>
      <c r="H4" s="23">
        <v>0.02</v>
      </c>
      <c r="I4" s="23">
        <v>0.02</v>
      </c>
      <c r="J4" s="23">
        <v>0.02</v>
      </c>
      <c r="K4" s="23">
        <v>0.02</v>
      </c>
      <c r="L4" s="23">
        <v>0.02</v>
      </c>
      <c r="M4" s="23">
        <v>0.02</v>
      </c>
      <c r="N4" s="23">
        <v>0.02</v>
      </c>
      <c r="O4" s="23">
        <v>0.02</v>
      </c>
    </row>
    <row r="5" spans="1:18" ht="0.65" hidden="1" customHeight="1" x14ac:dyDescent="0.35">
      <c r="A5" s="20" t="s">
        <v>2</v>
      </c>
      <c r="B5" s="21">
        <f t="shared" ref="B5:O5" si="1">B4</f>
        <v>9.5600000000000004E-2</v>
      </c>
      <c r="C5" s="21">
        <f t="shared" si="1"/>
        <v>3.7999999999999999E-2</v>
      </c>
      <c r="D5" s="21">
        <f t="shared" si="1"/>
        <v>0.05</v>
      </c>
      <c r="E5" s="21">
        <f t="shared" si="1"/>
        <v>3.2000000000000001E-2</v>
      </c>
      <c r="F5" s="21">
        <f t="shared" si="1"/>
        <v>2.3E-2</v>
      </c>
      <c r="G5" s="21">
        <f t="shared" si="1"/>
        <v>2.1999999999999999E-2</v>
      </c>
      <c r="H5" s="21">
        <f t="shared" si="1"/>
        <v>0.02</v>
      </c>
      <c r="I5" s="21">
        <f t="shared" si="1"/>
        <v>0.02</v>
      </c>
      <c r="J5" s="21">
        <f t="shared" si="1"/>
        <v>0.02</v>
      </c>
      <c r="K5" s="21">
        <f t="shared" si="1"/>
        <v>0.02</v>
      </c>
      <c r="L5" s="21">
        <f t="shared" si="1"/>
        <v>0.02</v>
      </c>
      <c r="M5" s="21">
        <f t="shared" si="1"/>
        <v>0.02</v>
      </c>
      <c r="N5" s="21">
        <f t="shared" si="1"/>
        <v>0.02</v>
      </c>
      <c r="O5" s="21">
        <f t="shared" si="1"/>
        <v>0.02</v>
      </c>
    </row>
    <row r="6" spans="1:18" ht="15.75" hidden="1" customHeight="1" x14ac:dyDescent="0.35">
      <c r="A6" s="1" t="s">
        <v>12</v>
      </c>
      <c r="B6" s="2" t="e">
        <f>#REF!*(1+B4%)</f>
        <v>#REF!</v>
      </c>
      <c r="C6" s="2" t="e">
        <f t="shared" ref="C6:L6" si="2">B6*(1+C4%)</f>
        <v>#REF!</v>
      </c>
      <c r="D6" s="2" t="e">
        <f t="shared" si="2"/>
        <v>#REF!</v>
      </c>
      <c r="E6" s="2" t="e">
        <f t="shared" si="2"/>
        <v>#REF!</v>
      </c>
      <c r="F6" s="2" t="e">
        <f t="shared" si="2"/>
        <v>#REF!</v>
      </c>
      <c r="G6" s="2" t="e">
        <f t="shared" si="2"/>
        <v>#REF!</v>
      </c>
      <c r="H6" s="2" t="e">
        <f t="shared" si="2"/>
        <v>#REF!</v>
      </c>
      <c r="I6" s="2" t="e">
        <f t="shared" si="2"/>
        <v>#REF!</v>
      </c>
      <c r="J6" s="2" t="e">
        <f t="shared" si="2"/>
        <v>#REF!</v>
      </c>
      <c r="K6" s="2" t="e">
        <f t="shared" si="2"/>
        <v>#REF!</v>
      </c>
      <c r="L6" s="2" t="e">
        <f t="shared" si="2"/>
        <v>#REF!</v>
      </c>
      <c r="M6" s="7"/>
      <c r="N6" s="7"/>
      <c r="O6" s="7"/>
    </row>
    <row r="7" spans="1:18" ht="12" customHeight="1" x14ac:dyDescent="0.35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4"/>
      <c r="M7" s="7"/>
      <c r="N7" s="7"/>
      <c r="O7" s="7"/>
    </row>
    <row r="8" spans="1:18" x14ac:dyDescent="0.35">
      <c r="A8" s="39" t="s">
        <v>14</v>
      </c>
      <c r="B8" s="33">
        <f>B16/B13</f>
        <v>0.18864193837870177</v>
      </c>
      <c r="C8" s="33">
        <f>C16/C13</f>
        <v>0.1874972822818792</v>
      </c>
      <c r="D8" s="33">
        <f t="shared" ref="D8:O8" si="3">C8*(1+D4)</f>
        <v>0.19687214639597317</v>
      </c>
      <c r="E8" s="33">
        <f t="shared" si="3"/>
        <v>0.20317205508064431</v>
      </c>
      <c r="F8" s="33">
        <f t="shared" si="3"/>
        <v>0.20784501234749911</v>
      </c>
      <c r="G8" s="33">
        <f t="shared" si="3"/>
        <v>0.21241760261914408</v>
      </c>
      <c r="H8" s="33">
        <f t="shared" si="3"/>
        <v>0.21666595467152697</v>
      </c>
      <c r="I8" s="33">
        <f t="shared" si="3"/>
        <v>0.22099927376495751</v>
      </c>
      <c r="J8" s="33">
        <f t="shared" si="3"/>
        <v>0.22541925924025666</v>
      </c>
      <c r="K8" s="33">
        <f t="shared" si="3"/>
        <v>0.22992764442506181</v>
      </c>
      <c r="L8" s="33">
        <f t="shared" si="3"/>
        <v>0.23452619731356306</v>
      </c>
      <c r="M8" s="33">
        <f t="shared" si="3"/>
        <v>0.23921672125983431</v>
      </c>
      <c r="N8" s="33">
        <f t="shared" si="3"/>
        <v>0.244001055685031</v>
      </c>
      <c r="O8" s="33">
        <f t="shared" si="3"/>
        <v>0.24888107679873162</v>
      </c>
    </row>
    <row r="9" spans="1:18" x14ac:dyDescent="0.35">
      <c r="A9" s="39" t="s">
        <v>13</v>
      </c>
      <c r="B9" s="33">
        <f>B17/B14</f>
        <v>0.30417104858277388</v>
      </c>
      <c r="C9" s="33">
        <f>C17/C14</f>
        <v>0.30417307436398316</v>
      </c>
      <c r="D9" s="33">
        <f t="shared" ref="D9:O9" si="4">C9*(1+D4)</f>
        <v>0.31938172808218235</v>
      </c>
      <c r="E9" s="33">
        <f t="shared" si="4"/>
        <v>0.32960194338081217</v>
      </c>
      <c r="F9" s="33">
        <f t="shared" si="4"/>
        <v>0.33718278807857083</v>
      </c>
      <c r="G9" s="33">
        <f t="shared" si="4"/>
        <v>0.34460080941629939</v>
      </c>
      <c r="H9" s="33">
        <f t="shared" si="4"/>
        <v>0.35149282560462536</v>
      </c>
      <c r="I9" s="33">
        <f t="shared" si="4"/>
        <v>0.35852268211671789</v>
      </c>
      <c r="J9" s="33">
        <f t="shared" si="4"/>
        <v>0.36569313575905227</v>
      </c>
      <c r="K9" s="33">
        <f t="shared" si="4"/>
        <v>0.3730069984742333</v>
      </c>
      <c r="L9" s="33">
        <f t="shared" si="4"/>
        <v>0.38046713844371799</v>
      </c>
      <c r="M9" s="33">
        <f t="shared" si="4"/>
        <v>0.38807648121259236</v>
      </c>
      <c r="N9" s="33">
        <f t="shared" si="4"/>
        <v>0.39583801083684422</v>
      </c>
      <c r="O9" s="33">
        <f t="shared" si="4"/>
        <v>0.4037547710535811</v>
      </c>
    </row>
    <row r="10" spans="1:18" x14ac:dyDescent="0.35">
      <c r="A10" s="1" t="s">
        <v>1</v>
      </c>
      <c r="B10" s="33">
        <f>B18/B13</f>
        <v>9.7125336524080161E-2</v>
      </c>
      <c r="C10" s="2">
        <f>C18/C13</f>
        <v>9.7095788590604026E-2</v>
      </c>
      <c r="D10" s="2">
        <f t="shared" ref="D10" si="5">C10*(1+D4)</f>
        <v>0.10195057802013423</v>
      </c>
      <c r="E10" s="2">
        <f t="shared" ref="E10" si="6">D10*(1+E4)</f>
        <v>0.10521299651677853</v>
      </c>
      <c r="F10" s="2">
        <f t="shared" ref="F10" si="7">E10*(1+F4)</f>
        <v>0.10763289543666442</v>
      </c>
      <c r="G10" s="2">
        <f t="shared" ref="G10" si="8">F10*(1+G4)</f>
        <v>0.11000081913627104</v>
      </c>
      <c r="H10" s="2">
        <f t="shared" ref="H10" si="9">G10*(1+H4)</f>
        <v>0.11220083551899646</v>
      </c>
      <c r="I10" s="2">
        <f t="shared" ref="I10:O10" si="10">H10*(1+I4)</f>
        <v>0.11444485222937639</v>
      </c>
      <c r="J10" s="2">
        <f t="shared" si="10"/>
        <v>0.11673374927396392</v>
      </c>
      <c r="K10" s="2">
        <f t="shared" si="10"/>
        <v>0.1190684242594432</v>
      </c>
      <c r="L10" s="2">
        <f t="shared" si="10"/>
        <v>0.12144979274463207</v>
      </c>
      <c r="M10" s="2">
        <f t="shared" si="10"/>
        <v>0.12387878859952471</v>
      </c>
      <c r="N10" s="2">
        <f t="shared" si="10"/>
        <v>0.12635636437151521</v>
      </c>
      <c r="O10" s="2">
        <f t="shared" si="10"/>
        <v>0.12888349165894553</v>
      </c>
    </row>
    <row r="11" spans="1:18" x14ac:dyDescent="0.35">
      <c r="A11" s="1" t="s">
        <v>7</v>
      </c>
      <c r="B11" s="32">
        <f>B19/B14</f>
        <v>4.0503399645069153E-2</v>
      </c>
      <c r="C11" s="2">
        <f>C19/C14</f>
        <v>4.5447353613731714E-2</v>
      </c>
      <c r="D11" s="2">
        <f>C11*1.432777</f>
        <v>6.5115922968621689E-2</v>
      </c>
      <c r="E11" s="2">
        <f>D11*1.106</f>
        <v>7.2018210803295596E-2</v>
      </c>
      <c r="F11" s="2">
        <f>E11*1.106</f>
        <v>7.9652141148444933E-2</v>
      </c>
      <c r="G11" s="2">
        <f t="shared" ref="G11:O11" si="11">F11*(1+G4)</f>
        <v>8.1404488253710716E-2</v>
      </c>
      <c r="H11" s="2">
        <f t="shared" si="11"/>
        <v>8.3032578018784928E-2</v>
      </c>
      <c r="I11" s="2">
        <f t="shared" si="11"/>
        <v>8.4693229579160631E-2</v>
      </c>
      <c r="J11" s="2">
        <f t="shared" si="11"/>
        <v>8.6387094170743847E-2</v>
      </c>
      <c r="K11" s="2">
        <f t="shared" si="11"/>
        <v>8.8114836054158721E-2</v>
      </c>
      <c r="L11" s="2">
        <f t="shared" si="11"/>
        <v>8.9877132775241897E-2</v>
      </c>
      <c r="M11" s="2">
        <f t="shared" si="11"/>
        <v>9.1674675430746741E-2</v>
      </c>
      <c r="N11" s="2">
        <f t="shared" si="11"/>
        <v>9.3508168939361674E-2</v>
      </c>
      <c r="O11" s="2">
        <f t="shared" si="11"/>
        <v>9.5378332318148906E-2</v>
      </c>
    </row>
    <row r="12" spans="1:18" x14ac:dyDescent="0.35">
      <c r="A12" s="3" t="s">
        <v>3</v>
      </c>
      <c r="B12" s="27"/>
      <c r="C12" s="4"/>
      <c r="D12" s="4"/>
      <c r="E12" s="4"/>
      <c r="F12" s="4"/>
      <c r="G12" s="4"/>
      <c r="H12" s="4"/>
      <c r="I12" s="4"/>
      <c r="J12" s="4"/>
      <c r="K12" s="4"/>
      <c r="L12" s="4"/>
      <c r="M12" s="7"/>
      <c r="N12" s="7"/>
      <c r="O12" s="7"/>
      <c r="R12" s="25"/>
    </row>
    <row r="13" spans="1:18" x14ac:dyDescent="0.35">
      <c r="A13" s="39" t="s">
        <v>48</v>
      </c>
      <c r="B13" s="26">
        <v>668600</v>
      </c>
      <c r="C13" s="8">
        <f>C40/(100-11.4)*100</f>
        <v>672686.23024830699</v>
      </c>
      <c r="D13" s="8">
        <f t="shared" ref="D13:O13" si="12">D40/(100-11.4)*100</f>
        <v>672686.23024830699</v>
      </c>
      <c r="E13" s="8">
        <f t="shared" si="12"/>
        <v>672686.23024830699</v>
      </c>
      <c r="F13" s="8">
        <f t="shared" si="12"/>
        <v>672686.23024830699</v>
      </c>
      <c r="G13" s="8">
        <f t="shared" si="12"/>
        <v>672686.23024830699</v>
      </c>
      <c r="H13" s="8">
        <f t="shared" si="12"/>
        <v>672686.23024830699</v>
      </c>
      <c r="I13" s="8">
        <f t="shared" si="12"/>
        <v>672686.23024830699</v>
      </c>
      <c r="J13" s="8">
        <f t="shared" si="12"/>
        <v>672686.23024830699</v>
      </c>
      <c r="K13" s="8">
        <f t="shared" si="12"/>
        <v>672686.23024830699</v>
      </c>
      <c r="L13" s="8">
        <f t="shared" si="12"/>
        <v>672686.23024830699</v>
      </c>
      <c r="M13" s="8">
        <f t="shared" si="12"/>
        <v>672686.23024830699</v>
      </c>
      <c r="N13" s="8">
        <f t="shared" si="12"/>
        <v>672686.23024830699</v>
      </c>
      <c r="O13" s="8">
        <f t="shared" si="12"/>
        <v>672686.23024830699</v>
      </c>
      <c r="Q13" s="25"/>
      <c r="R13" s="25"/>
    </row>
    <row r="14" spans="1:18" x14ac:dyDescent="0.35">
      <c r="A14" s="39" t="s">
        <v>27</v>
      </c>
      <c r="B14" s="26">
        <f>B41</f>
        <v>572618.60000000009</v>
      </c>
      <c r="C14" s="8">
        <f t="shared" ref="C14:O14" si="13">C41</f>
        <v>572618.60000000009</v>
      </c>
      <c r="D14" s="8">
        <f t="shared" si="13"/>
        <v>572618.60000000009</v>
      </c>
      <c r="E14" s="8">
        <f t="shared" si="13"/>
        <v>572618.60000000009</v>
      </c>
      <c r="F14" s="8">
        <f t="shared" si="13"/>
        <v>572618.60000000009</v>
      </c>
      <c r="G14" s="8">
        <f t="shared" si="13"/>
        <v>572618.60000000009</v>
      </c>
      <c r="H14" s="8">
        <f t="shared" si="13"/>
        <v>572618.60000000009</v>
      </c>
      <c r="I14" s="8">
        <f t="shared" si="13"/>
        <v>572618.60000000009</v>
      </c>
      <c r="J14" s="8">
        <f t="shared" si="13"/>
        <v>572618.60000000009</v>
      </c>
      <c r="K14" s="8">
        <f t="shared" si="13"/>
        <v>572618.60000000009</v>
      </c>
      <c r="L14" s="8">
        <f t="shared" si="13"/>
        <v>572618.60000000009</v>
      </c>
      <c r="M14" s="8">
        <f t="shared" si="13"/>
        <v>572618.60000000009</v>
      </c>
      <c r="N14" s="8">
        <f t="shared" si="13"/>
        <v>572618.60000000009</v>
      </c>
      <c r="O14" s="8">
        <f t="shared" si="13"/>
        <v>572618.60000000009</v>
      </c>
    </row>
    <row r="15" spans="1:18" x14ac:dyDescent="0.35">
      <c r="A15" s="3" t="s">
        <v>4</v>
      </c>
      <c r="B15" s="46"/>
      <c r="C15" s="4"/>
      <c r="D15" s="4"/>
      <c r="E15" s="4"/>
      <c r="F15" s="4"/>
      <c r="G15" s="4"/>
      <c r="H15" s="4"/>
      <c r="I15" s="4"/>
      <c r="J15" s="4"/>
      <c r="K15" s="4"/>
      <c r="L15" s="4"/>
      <c r="M15" s="7"/>
      <c r="N15" s="7"/>
      <c r="O15" s="7"/>
    </row>
    <row r="16" spans="1:18" x14ac:dyDescent="0.35">
      <c r="A16" s="39" t="s">
        <v>14</v>
      </c>
      <c r="B16" s="8">
        <f>0.42*300300</f>
        <v>126126</v>
      </c>
      <c r="C16" s="8">
        <f>0.42*300302</f>
        <v>126126.84</v>
      </c>
      <c r="D16" s="8">
        <f t="shared" ref="D16:O16" si="14">D8*D13</f>
        <v>132433.182</v>
      </c>
      <c r="E16" s="8">
        <f t="shared" si="14"/>
        <v>136671.04382400002</v>
      </c>
      <c r="F16" s="8">
        <f t="shared" si="14"/>
        <v>139814.47783195198</v>
      </c>
      <c r="G16" s="8">
        <f t="shared" si="14"/>
        <v>142890.39634425493</v>
      </c>
      <c r="H16" s="8">
        <f t="shared" si="14"/>
        <v>145748.20427114004</v>
      </c>
      <c r="I16" s="8">
        <f t="shared" si="14"/>
        <v>148663.16835656285</v>
      </c>
      <c r="J16" s="8">
        <f t="shared" si="14"/>
        <v>151636.43172369408</v>
      </c>
      <c r="K16" s="8">
        <f t="shared" si="14"/>
        <v>154669.16035816798</v>
      </c>
      <c r="L16" s="8">
        <f t="shared" si="14"/>
        <v>157762.54356533135</v>
      </c>
      <c r="M16" s="8">
        <f t="shared" si="14"/>
        <v>160917.79443663798</v>
      </c>
      <c r="N16" s="8">
        <f t="shared" si="14"/>
        <v>164136.15032537075</v>
      </c>
      <c r="O16" s="8">
        <f t="shared" si="14"/>
        <v>167418.87333187816</v>
      </c>
    </row>
    <row r="17" spans="1:18" x14ac:dyDescent="0.35">
      <c r="A17" s="39" t="s">
        <v>13</v>
      </c>
      <c r="B17" s="8">
        <f>0.58*300300</f>
        <v>174174</v>
      </c>
      <c r="C17" s="8">
        <f>0.58*300302</f>
        <v>174175.15999999997</v>
      </c>
      <c r="D17" s="8">
        <f t="shared" ref="D17:O17" si="15">D9*D14</f>
        <v>182883.91799999998</v>
      </c>
      <c r="E17" s="8">
        <f t="shared" si="15"/>
        <v>188736.20337599996</v>
      </c>
      <c r="F17" s="8">
        <f t="shared" si="15"/>
        <v>193077.13605364796</v>
      </c>
      <c r="G17" s="8">
        <f t="shared" si="15"/>
        <v>197324.83304682819</v>
      </c>
      <c r="H17" s="8">
        <f t="shared" si="15"/>
        <v>201271.32970776476</v>
      </c>
      <c r="I17" s="8">
        <f t="shared" si="15"/>
        <v>205296.75630192008</v>
      </c>
      <c r="J17" s="8">
        <f t="shared" si="15"/>
        <v>209402.69142795849</v>
      </c>
      <c r="K17" s="8">
        <f t="shared" si="15"/>
        <v>213590.74525651764</v>
      </c>
      <c r="L17" s="8">
        <f t="shared" si="15"/>
        <v>217862.560161648</v>
      </c>
      <c r="M17" s="8">
        <f t="shared" si="15"/>
        <v>222219.81136488097</v>
      </c>
      <c r="N17" s="8">
        <f t="shared" si="15"/>
        <v>226664.2075921786</v>
      </c>
      <c r="O17" s="8">
        <f t="shared" si="15"/>
        <v>231197.49174402218</v>
      </c>
      <c r="R17" s="15"/>
    </row>
    <row r="18" spans="1:18" x14ac:dyDescent="0.35">
      <c r="A18" s="1" t="s">
        <v>1</v>
      </c>
      <c r="B18" s="8">
        <v>64938</v>
      </c>
      <c r="C18" s="14">
        <v>65315</v>
      </c>
      <c r="D18" s="14">
        <f t="shared" ref="D18:O18" si="16">D13*D10</f>
        <v>68580.75</v>
      </c>
      <c r="E18" s="14">
        <f t="shared" si="16"/>
        <v>70775.334000000003</v>
      </c>
      <c r="F18" s="14">
        <f t="shared" si="16"/>
        <v>72403.166681999995</v>
      </c>
      <c r="G18" s="14">
        <f t="shared" si="16"/>
        <v>73996.036349003989</v>
      </c>
      <c r="H18" s="14">
        <f t="shared" si="16"/>
        <v>75475.957075984072</v>
      </c>
      <c r="I18" s="14">
        <f t="shared" si="16"/>
        <v>76985.476217503761</v>
      </c>
      <c r="J18" s="14">
        <f t="shared" si="16"/>
        <v>78525.185741853827</v>
      </c>
      <c r="K18" s="14">
        <f t="shared" si="16"/>
        <v>80095.689456690903</v>
      </c>
      <c r="L18" s="14">
        <f t="shared" si="16"/>
        <v>81697.603245824735</v>
      </c>
      <c r="M18" s="14">
        <f t="shared" si="16"/>
        <v>83331.555310741227</v>
      </c>
      <c r="N18" s="14">
        <f t="shared" si="16"/>
        <v>84998.186416956058</v>
      </c>
      <c r="O18" s="14">
        <f t="shared" si="16"/>
        <v>86698.150145295178</v>
      </c>
    </row>
    <row r="19" spans="1:18" x14ac:dyDescent="0.35">
      <c r="A19" s="1" t="s">
        <v>7</v>
      </c>
      <c r="B19" s="8">
        <v>23193</v>
      </c>
      <c r="C19" s="14">
        <v>26024</v>
      </c>
      <c r="D19" s="14">
        <f t="shared" ref="D19:O19" si="17">D11*D14</f>
        <v>37286.588648000004</v>
      </c>
      <c r="E19" s="14">
        <f t="shared" si="17"/>
        <v>41238.967044688005</v>
      </c>
      <c r="F19" s="14">
        <f t="shared" si="17"/>
        <v>45610.297551424934</v>
      </c>
      <c r="G19" s="14">
        <f t="shared" si="17"/>
        <v>46613.724097556282</v>
      </c>
      <c r="H19" s="14">
        <f t="shared" si="17"/>
        <v>47545.99857950741</v>
      </c>
      <c r="I19" s="14">
        <f t="shared" si="17"/>
        <v>48496.918551097559</v>
      </c>
      <c r="J19" s="14">
        <f t="shared" si="17"/>
        <v>49466.856922119514</v>
      </c>
      <c r="K19" s="14">
        <f t="shared" si="17"/>
        <v>50456.194060561902</v>
      </c>
      <c r="L19" s="14">
        <f t="shared" si="17"/>
        <v>51465.317941773137</v>
      </c>
      <c r="M19" s="14">
        <f t="shared" si="17"/>
        <v>52494.624300608608</v>
      </c>
      <c r="N19" s="14">
        <f t="shared" si="17"/>
        <v>53544.516786620778</v>
      </c>
      <c r="O19" s="14">
        <f t="shared" si="17"/>
        <v>54615.407122353194</v>
      </c>
    </row>
    <row r="20" spans="1:18" x14ac:dyDescent="0.35">
      <c r="A20" s="3" t="s">
        <v>5</v>
      </c>
      <c r="B20" s="2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7"/>
    </row>
    <row r="21" spans="1:18" x14ac:dyDescent="0.35">
      <c r="A21" s="1" t="s">
        <v>6</v>
      </c>
      <c r="B21" s="8">
        <v>588400</v>
      </c>
      <c r="C21" s="14">
        <v>652649</v>
      </c>
      <c r="D21" s="14">
        <f t="shared" ref="D21:O21" si="18">C21*(1+D5)</f>
        <v>685281.45000000007</v>
      </c>
      <c r="E21" s="14">
        <f t="shared" si="18"/>
        <v>707210.45640000014</v>
      </c>
      <c r="F21" s="14">
        <f t="shared" si="18"/>
        <v>723476.29689720005</v>
      </c>
      <c r="G21" s="14">
        <f t="shared" si="18"/>
        <v>739392.77542893845</v>
      </c>
      <c r="H21" s="14">
        <f t="shared" si="18"/>
        <v>754180.63093751727</v>
      </c>
      <c r="I21" s="14">
        <f t="shared" si="18"/>
        <v>769264.24355626758</v>
      </c>
      <c r="J21" s="14">
        <f t="shared" si="18"/>
        <v>784649.52842739294</v>
      </c>
      <c r="K21" s="14">
        <f t="shared" si="18"/>
        <v>800342.5189959408</v>
      </c>
      <c r="L21" s="14">
        <f t="shared" si="18"/>
        <v>816349.36937585962</v>
      </c>
      <c r="M21" s="14">
        <f t="shared" si="18"/>
        <v>832676.35676337685</v>
      </c>
      <c r="N21" s="14">
        <f t="shared" si="18"/>
        <v>849329.88389864436</v>
      </c>
      <c r="O21" s="14">
        <f t="shared" si="18"/>
        <v>866316.48157661723</v>
      </c>
    </row>
    <row r="22" spans="1:18" x14ac:dyDescent="0.35">
      <c r="A22" s="1" t="s">
        <v>32</v>
      </c>
      <c r="B22" s="8">
        <f>188838*0.42</f>
        <v>79311.959999999992</v>
      </c>
      <c r="C22" s="8">
        <f>205689*0.42</f>
        <v>86389.37999999999</v>
      </c>
      <c r="D22" s="14">
        <f t="shared" ref="D22:N22" si="19">C22*(1+D4)</f>
        <v>90708.848999999987</v>
      </c>
      <c r="E22" s="14">
        <f t="shared" si="19"/>
        <v>93611.532167999991</v>
      </c>
      <c r="F22" s="14">
        <f t="shared" si="19"/>
        <v>95764.597407863985</v>
      </c>
      <c r="G22" s="14">
        <f t="shared" si="19"/>
        <v>97871.418550836999</v>
      </c>
      <c r="H22" s="14">
        <f t="shared" si="19"/>
        <v>99828.846921853736</v>
      </c>
      <c r="I22" s="14">
        <f t="shared" si="19"/>
        <v>101825.42386029082</v>
      </c>
      <c r="J22" s="14">
        <f t="shared" si="19"/>
        <v>103861.93233749663</v>
      </c>
      <c r="K22" s="14">
        <f t="shared" si="19"/>
        <v>105939.17098424656</v>
      </c>
      <c r="L22" s="14">
        <f t="shared" si="19"/>
        <v>108057.95440393149</v>
      </c>
      <c r="M22" s="14">
        <f t="shared" si="19"/>
        <v>110219.11349201013</v>
      </c>
      <c r="N22" s="14">
        <f t="shared" si="19"/>
        <v>112423.49576185034</v>
      </c>
      <c r="O22" s="14">
        <f>N22*(1+O4)</f>
        <v>114671.96567708736</v>
      </c>
      <c r="P22" s="15"/>
    </row>
    <row r="23" spans="1:18" x14ac:dyDescent="0.35">
      <c r="A23" s="1" t="s">
        <v>33</v>
      </c>
      <c r="B23" s="8">
        <f>188838*0.58</f>
        <v>109526.04</v>
      </c>
      <c r="C23" s="8">
        <f>205689*0.58</f>
        <v>119299.62</v>
      </c>
      <c r="D23" s="14">
        <f>C23*(1+D4)</f>
        <v>125264.601</v>
      </c>
      <c r="E23" s="14">
        <f>D23*(1+E4)</f>
        <v>129273.06823200001</v>
      </c>
      <c r="F23" s="14">
        <f>E23*(1+F4)</f>
        <v>132246.34880133599</v>
      </c>
      <c r="G23" s="14">
        <f>F23*(1+G4)</f>
        <v>135155.76847496539</v>
      </c>
      <c r="H23" s="14">
        <f>G23*(1+H5)</f>
        <v>137858.8838444647</v>
      </c>
      <c r="I23" s="14">
        <f t="shared" ref="I23:O23" si="20">H23*(1+I4)</f>
        <v>140616.06152135399</v>
      </c>
      <c r="J23" s="14">
        <f t="shared" si="20"/>
        <v>143428.38275178106</v>
      </c>
      <c r="K23" s="14">
        <f t="shared" si="20"/>
        <v>146296.95040681667</v>
      </c>
      <c r="L23" s="14">
        <f t="shared" si="20"/>
        <v>149222.88941495301</v>
      </c>
      <c r="M23" s="14">
        <f t="shared" si="20"/>
        <v>152207.34720325208</v>
      </c>
      <c r="N23" s="14">
        <f t="shared" si="20"/>
        <v>155251.49414731713</v>
      </c>
      <c r="O23" s="14">
        <f t="shared" si="20"/>
        <v>158356.52403026348</v>
      </c>
    </row>
    <row r="24" spans="1:18" x14ac:dyDescent="0.35">
      <c r="A24" s="1" t="s">
        <v>55</v>
      </c>
      <c r="B24" s="8">
        <v>37200</v>
      </c>
      <c r="C24" s="14">
        <v>50491</v>
      </c>
      <c r="D24" s="14">
        <f t="shared" ref="D24:O24" si="21">C24*(1+D4)</f>
        <v>53015.55</v>
      </c>
      <c r="E24" s="14">
        <f t="shared" si="21"/>
        <v>54712.047600000005</v>
      </c>
      <c r="F24" s="14">
        <f t="shared" si="21"/>
        <v>55970.4246948</v>
      </c>
      <c r="G24" s="14">
        <f t="shared" si="21"/>
        <v>57201.774038085598</v>
      </c>
      <c r="H24" s="14">
        <f t="shared" si="21"/>
        <v>58345.809518847309</v>
      </c>
      <c r="I24" s="14">
        <f t="shared" si="21"/>
        <v>59512.725709224258</v>
      </c>
      <c r="J24" s="14">
        <f t="shared" si="21"/>
        <v>60702.980223408747</v>
      </c>
      <c r="K24" s="14">
        <f t="shared" si="21"/>
        <v>61917.039827876921</v>
      </c>
      <c r="L24" s="14">
        <f t="shared" si="21"/>
        <v>63155.38062443446</v>
      </c>
      <c r="M24" s="14">
        <f t="shared" si="21"/>
        <v>64418.488236923149</v>
      </c>
      <c r="N24" s="14">
        <f t="shared" si="21"/>
        <v>65706.858001661618</v>
      </c>
      <c r="O24" s="14">
        <f t="shared" si="21"/>
        <v>67020.995161694853</v>
      </c>
    </row>
    <row r="25" spans="1:18" x14ac:dyDescent="0.35">
      <c r="A25" s="1" t="s">
        <v>31</v>
      </c>
      <c r="B25" s="8">
        <v>46200</v>
      </c>
      <c r="C25" s="14">
        <v>48855</v>
      </c>
      <c r="D25" s="14">
        <f t="shared" ref="D25:O25" si="22">C25*(1+D4)</f>
        <v>51297.75</v>
      </c>
      <c r="E25" s="14">
        <f t="shared" si="22"/>
        <v>52939.277999999998</v>
      </c>
      <c r="F25" s="14">
        <f t="shared" si="22"/>
        <v>54156.881393999996</v>
      </c>
      <c r="G25" s="14">
        <f t="shared" si="22"/>
        <v>55348.332784667997</v>
      </c>
      <c r="H25" s="14">
        <f t="shared" si="22"/>
        <v>56455.299440361356</v>
      </c>
      <c r="I25" s="14">
        <f t="shared" si="22"/>
        <v>57584.405429168582</v>
      </c>
      <c r="J25" s="14">
        <f t="shared" si="22"/>
        <v>58736.093537751956</v>
      </c>
      <c r="K25" s="14">
        <f t="shared" si="22"/>
        <v>59910.815408506998</v>
      </c>
      <c r="L25" s="14">
        <f t="shared" si="22"/>
        <v>61109.031716677142</v>
      </c>
      <c r="M25" s="14">
        <f t="shared" si="22"/>
        <v>62331.212351010683</v>
      </c>
      <c r="N25" s="14">
        <f t="shared" si="22"/>
        <v>63577.836598030895</v>
      </c>
      <c r="O25" s="14">
        <f t="shared" si="22"/>
        <v>64849.393329991515</v>
      </c>
    </row>
    <row r="26" spans="1:18" x14ac:dyDescent="0.35">
      <c r="A26" s="1" t="s">
        <v>53</v>
      </c>
      <c r="B26" s="8">
        <v>36838</v>
      </c>
      <c r="C26" s="14">
        <v>42300</v>
      </c>
      <c r="D26" s="14">
        <f>C26*(1+D4)</f>
        <v>44415</v>
      </c>
      <c r="E26" s="14">
        <f t="shared" ref="E26:O26" si="23">D26*(1+E4)</f>
        <v>45836.28</v>
      </c>
      <c r="F26" s="14">
        <f t="shared" si="23"/>
        <v>46890.514439999992</v>
      </c>
      <c r="G26" s="14">
        <f t="shared" si="23"/>
        <v>47922.105757679994</v>
      </c>
      <c r="H26" s="14">
        <f t="shared" si="23"/>
        <v>48880.547872833595</v>
      </c>
      <c r="I26" s="14">
        <f t="shared" si="23"/>
        <v>49858.158830290267</v>
      </c>
      <c r="J26" s="14">
        <f t="shared" si="23"/>
        <v>50855.322006896073</v>
      </c>
      <c r="K26" s="14">
        <f t="shared" si="23"/>
        <v>51872.428447033992</v>
      </c>
      <c r="L26" s="14">
        <f t="shared" si="23"/>
        <v>52909.877015974671</v>
      </c>
      <c r="M26" s="14">
        <f t="shared" si="23"/>
        <v>53968.074556294167</v>
      </c>
      <c r="N26" s="14">
        <f t="shared" si="23"/>
        <v>55047.436047420051</v>
      </c>
      <c r="O26" s="14">
        <f t="shared" si="23"/>
        <v>56148.384768368451</v>
      </c>
    </row>
    <row r="27" spans="1:18" x14ac:dyDescent="0.35">
      <c r="A27" s="1" t="s">
        <v>54</v>
      </c>
      <c r="B27" s="8">
        <v>23634</v>
      </c>
      <c r="C27" s="14">
        <v>26459</v>
      </c>
      <c r="D27" s="14">
        <f>C27*(1+D4)</f>
        <v>27781.95</v>
      </c>
      <c r="E27" s="14">
        <f t="shared" ref="E27:O27" si="24">D27*(1+E4)</f>
        <v>28670.972400000002</v>
      </c>
      <c r="F27" s="14">
        <f t="shared" si="24"/>
        <v>29330.404765200001</v>
      </c>
      <c r="G27" s="14">
        <f t="shared" si="24"/>
        <v>29975.673670034401</v>
      </c>
      <c r="H27" s="14">
        <f t="shared" si="24"/>
        <v>30575.187143435091</v>
      </c>
      <c r="I27" s="14">
        <f t="shared" si="24"/>
        <v>31186.690886303793</v>
      </c>
      <c r="J27" s="14">
        <f t="shared" si="24"/>
        <v>31810.424704029869</v>
      </c>
      <c r="K27" s="14">
        <f t="shared" si="24"/>
        <v>32446.633198110467</v>
      </c>
      <c r="L27" s="14">
        <f t="shared" si="24"/>
        <v>33095.565862072675</v>
      </c>
      <c r="M27" s="14">
        <f t="shared" si="24"/>
        <v>33757.477179314126</v>
      </c>
      <c r="N27" s="14">
        <f t="shared" si="24"/>
        <v>34432.626722900408</v>
      </c>
      <c r="O27" s="14">
        <f t="shared" si="24"/>
        <v>35121.279257358416</v>
      </c>
    </row>
    <row r="28" spans="1:18" x14ac:dyDescent="0.35">
      <c r="A28" s="39" t="s">
        <v>15</v>
      </c>
      <c r="B28" s="8">
        <v>97246</v>
      </c>
      <c r="C28" s="8">
        <v>101384</v>
      </c>
      <c r="D28" s="8">
        <f t="shared" ref="D28:O28" si="25">C28*(1+D4)</f>
        <v>106453.20000000001</v>
      </c>
      <c r="E28" s="8">
        <f t="shared" si="25"/>
        <v>109859.70240000001</v>
      </c>
      <c r="F28" s="8">
        <f t="shared" si="25"/>
        <v>112386.4755552</v>
      </c>
      <c r="G28" s="8">
        <f t="shared" si="25"/>
        <v>114858.9780174144</v>
      </c>
      <c r="H28" s="8">
        <f t="shared" si="25"/>
        <v>117156.15757776269</v>
      </c>
      <c r="I28" s="8">
        <f t="shared" si="25"/>
        <v>119499.28072931794</v>
      </c>
      <c r="J28" s="8">
        <f t="shared" si="25"/>
        <v>121889.2663439043</v>
      </c>
      <c r="K28" s="8">
        <f t="shared" si="25"/>
        <v>124327.05167078238</v>
      </c>
      <c r="L28" s="8">
        <f t="shared" si="25"/>
        <v>126813.59270419803</v>
      </c>
      <c r="M28" s="8">
        <f t="shared" si="25"/>
        <v>129349.86455828199</v>
      </c>
      <c r="N28" s="8">
        <f t="shared" si="25"/>
        <v>131936.86184944762</v>
      </c>
      <c r="O28" s="8">
        <f t="shared" si="25"/>
        <v>134575.59908643659</v>
      </c>
    </row>
    <row r="29" spans="1:18" ht="8.25" customHeight="1" x14ac:dyDescent="0.35">
      <c r="A29" s="6"/>
      <c r="B29" s="27"/>
      <c r="C29" s="4"/>
      <c r="D29" s="4"/>
      <c r="E29" s="4"/>
      <c r="F29" s="4"/>
      <c r="G29" s="4"/>
      <c r="H29" s="4"/>
      <c r="I29" s="4"/>
      <c r="J29" s="4"/>
      <c r="K29" s="4"/>
      <c r="L29" s="4"/>
      <c r="M29" s="7"/>
      <c r="N29" s="7"/>
      <c r="O29" s="7"/>
    </row>
    <row r="30" spans="1:18" x14ac:dyDescent="0.35">
      <c r="A30" s="47" t="s">
        <v>56</v>
      </c>
      <c r="B30" s="48">
        <f>SUM(B16:B19)+SUM(B21:B28)</f>
        <v>1406787</v>
      </c>
      <c r="C30" s="48">
        <f t="shared" ref="C30:O30" si="26">SUM(C16:C19)+SUM(C21:C28)</f>
        <v>1519468</v>
      </c>
      <c r="D30" s="48">
        <f t="shared" si="26"/>
        <v>1605402.788648</v>
      </c>
      <c r="E30" s="48">
        <f t="shared" si="26"/>
        <v>1659534.8854446884</v>
      </c>
      <c r="F30" s="48">
        <f t="shared" si="26"/>
        <v>1701127.0220746249</v>
      </c>
      <c r="G30" s="48">
        <f t="shared" si="26"/>
        <v>1738551.8165602668</v>
      </c>
      <c r="H30" s="48">
        <f t="shared" si="26"/>
        <v>1773322.8528914719</v>
      </c>
      <c r="I30" s="48">
        <f t="shared" si="26"/>
        <v>1808789.3099493014</v>
      </c>
      <c r="J30" s="48">
        <f t="shared" si="26"/>
        <v>1844965.0961482874</v>
      </c>
      <c r="K30" s="48">
        <f t="shared" si="26"/>
        <v>1881864.3980712532</v>
      </c>
      <c r="L30" s="48">
        <f t="shared" si="26"/>
        <v>1919501.6860326785</v>
      </c>
      <c r="M30" s="48">
        <f t="shared" si="26"/>
        <v>1957891.719753332</v>
      </c>
      <c r="N30" s="48">
        <f t="shared" si="26"/>
        <v>1997049.554148399</v>
      </c>
      <c r="O30" s="48">
        <f t="shared" si="26"/>
        <v>2036990.545231367</v>
      </c>
      <c r="R30" s="15"/>
    </row>
    <row r="31" spans="1:18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8" x14ac:dyDescent="0.35">
      <c r="A32" s="39" t="s">
        <v>34</v>
      </c>
      <c r="B32" s="8">
        <v>344922.14</v>
      </c>
      <c r="C32" s="8">
        <f>B32*(1-0.03694)+569000*0.03694</f>
        <v>353199.57614840002</v>
      </c>
      <c r="D32" s="8">
        <f>C32*(1-0.03694)+500000*0.03694</f>
        <v>358622.38380547817</v>
      </c>
      <c r="E32" s="8">
        <f>D32*(1-0.03694)+550000*0.03694</f>
        <v>365691.87294770381</v>
      </c>
      <c r="F32" s="8">
        <f>E32*(1-0.03694)+600000*0.03694</f>
        <v>374347.21516101563</v>
      </c>
      <c r="G32" s="8">
        <f>F32*(1-0.03694)+650000*0.03694</f>
        <v>384529.82903296774</v>
      </c>
      <c r="H32" s="8">
        <f>G32*(1-0.03694)+700000*0.03694</f>
        <v>396183.29714848992</v>
      </c>
      <c r="I32" s="8">
        <f>H32*(1-0.03694)+800000*0.03694</f>
        <v>411100.28615182469</v>
      </c>
      <c r="J32" s="8">
        <f>I32*(1-0.03694)+900000*0.03694</f>
        <v>429160.24158137629</v>
      </c>
      <c r="K32" s="8">
        <f>J32*(1-0.03694)+1000000*0.03694</f>
        <v>450247.06225736026</v>
      </c>
      <c r="L32" s="8">
        <f t="shared" ref="L32:O32" si="27">K32*(1-0.03694)+1000000*0.03694</f>
        <v>470554.93577757338</v>
      </c>
      <c r="M32" s="8">
        <f t="shared" si="27"/>
        <v>490112.63644994982</v>
      </c>
      <c r="N32" s="8">
        <f t="shared" si="27"/>
        <v>508947.87565948867</v>
      </c>
      <c r="O32" s="8">
        <f t="shared" si="27"/>
        <v>527087.3411326271</v>
      </c>
    </row>
    <row r="33" spans="1:15" x14ac:dyDescent="0.35">
      <c r="A33" s="39" t="s">
        <v>36</v>
      </c>
      <c r="B33" s="8">
        <v>4703280</v>
      </c>
      <c r="C33" s="8">
        <v>4927358.6500000004</v>
      </c>
      <c r="D33" s="8">
        <v>5061417.6500000004</v>
      </c>
      <c r="E33" s="8">
        <v>5227783.0866884002</v>
      </c>
      <c r="F33" s="8">
        <v>5425261.5602939306</v>
      </c>
      <c r="G33" s="8">
        <v>5652703.7552328724</v>
      </c>
      <c r="H33" s="8">
        <v>5859002.8116391702</v>
      </c>
      <c r="I33" s="8">
        <v>6094939.757050219</v>
      </c>
      <c r="J33" s="8">
        <v>6409419.7678461839</v>
      </c>
      <c r="K33" s="8">
        <v>6799541.4631917467</v>
      </c>
      <c r="L33" s="8">
        <v>7262510.6392596429</v>
      </c>
      <c r="M33" s="8">
        <v>7695636.3101119911</v>
      </c>
      <c r="N33" s="8">
        <v>8100020.8948314553</v>
      </c>
      <c r="O33" s="8">
        <v>8476726.0891397819</v>
      </c>
    </row>
    <row r="34" spans="1:15" x14ac:dyDescent="0.35">
      <c r="A34" s="39" t="s">
        <v>57</v>
      </c>
      <c r="B34" s="8"/>
      <c r="C34" s="8">
        <f>(594+632+732+825+885+1035)*1000/3*0.05</f>
        <v>78383.333333333343</v>
      </c>
      <c r="D34" s="8">
        <f>(632+732+885+1035+C56/1000)*1000/3*0.05</f>
        <v>87277.035792222217</v>
      </c>
      <c r="E34" s="8">
        <f>(732+1035+C56/1000+D56/1000)*1000/3*0.05</f>
        <v>100083.0893858004</v>
      </c>
      <c r="F34" s="8">
        <f>(C56+D56+E56)/3*0.05</f>
        <v>109841.95005706468</v>
      </c>
      <c r="G34" s="8">
        <f>(D56+E56+F56)/3*0.05</f>
        <v>117567.92359933148</v>
      </c>
      <c r="H34" s="8">
        <f t="shared" ref="H34:O34" si="28">(E56+F56+G56)/3*0.05</f>
        <v>120779.72445131282</v>
      </c>
      <c r="I34" s="8">
        <f t="shared" si="28"/>
        <v>123861.73127109313</v>
      </c>
      <c r="J34" s="8">
        <f t="shared" si="28"/>
        <v>126969.59083025121</v>
      </c>
      <c r="K34" s="8">
        <f t="shared" si="28"/>
        <v>130279.01880178445</v>
      </c>
      <c r="L34" s="8">
        <f t="shared" si="28"/>
        <v>133973.53240674685</v>
      </c>
      <c r="M34" s="8">
        <f t="shared" si="28"/>
        <v>138031.69248267461</v>
      </c>
      <c r="N34" s="8">
        <f t="shared" si="28"/>
        <v>142275.90607483947</v>
      </c>
      <c r="O34" s="8">
        <f t="shared" si="28"/>
        <v>146535.16673559556</v>
      </c>
    </row>
    <row r="35" spans="1:15" x14ac:dyDescent="0.35">
      <c r="A35" s="39" t="s">
        <v>35</v>
      </c>
      <c r="B35" s="8">
        <f>0.0628*(B33+B34)</f>
        <v>295365.984</v>
      </c>
      <c r="C35" s="8">
        <f>0.0628*(C33+C34)</f>
        <v>314360.59655333334</v>
      </c>
      <c r="D35" s="8">
        <f>0.0628*(D33+D34)</f>
        <v>323338.02626775153</v>
      </c>
      <c r="E35" s="8">
        <f t="shared" ref="E35:O35" si="29">0.0628*E33</f>
        <v>328304.77784403152</v>
      </c>
      <c r="F35" s="8">
        <f t="shared" si="29"/>
        <v>340706.42598645884</v>
      </c>
      <c r="G35" s="8">
        <f t="shared" si="29"/>
        <v>354989.79582862434</v>
      </c>
      <c r="H35" s="8">
        <f t="shared" si="29"/>
        <v>367945.37657093984</v>
      </c>
      <c r="I35" s="8">
        <f t="shared" si="29"/>
        <v>382762.21674275369</v>
      </c>
      <c r="J35" s="8">
        <f t="shared" si="29"/>
        <v>402511.56142074033</v>
      </c>
      <c r="K35" s="8">
        <f t="shared" si="29"/>
        <v>427011.20388844167</v>
      </c>
      <c r="L35" s="8">
        <f t="shared" si="29"/>
        <v>456085.66814550554</v>
      </c>
      <c r="M35" s="8">
        <f t="shared" si="29"/>
        <v>483285.96027503302</v>
      </c>
      <c r="N35" s="8">
        <f t="shared" si="29"/>
        <v>508681.31219541538</v>
      </c>
      <c r="O35" s="8">
        <f t="shared" si="29"/>
        <v>532338.39839797828</v>
      </c>
    </row>
    <row r="36" spans="1:15" x14ac:dyDescent="0.35">
      <c r="A36" s="12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 spans="1:15" x14ac:dyDescent="0.35">
      <c r="A37" s="47" t="s">
        <v>37</v>
      </c>
      <c r="B37" s="8"/>
      <c r="C37" s="48">
        <f>C30+C32+C35</f>
        <v>2187028.1727017332</v>
      </c>
      <c r="D37" s="48">
        <f t="shared" ref="D37:O37" si="30">D30+D32+D35</f>
        <v>2287363.1987212296</v>
      </c>
      <c r="E37" s="48">
        <f t="shared" si="30"/>
        <v>2353531.5362364235</v>
      </c>
      <c r="F37" s="48">
        <f t="shared" si="30"/>
        <v>2416180.6632220997</v>
      </c>
      <c r="G37" s="48">
        <f t="shared" si="30"/>
        <v>2478071.4414218585</v>
      </c>
      <c r="H37" s="48">
        <f t="shared" si="30"/>
        <v>2537451.526610902</v>
      </c>
      <c r="I37" s="48">
        <f t="shared" si="30"/>
        <v>2602651.8128438797</v>
      </c>
      <c r="J37" s="48">
        <f t="shared" si="30"/>
        <v>2676636.8991504041</v>
      </c>
      <c r="K37" s="48">
        <f t="shared" si="30"/>
        <v>2759122.6642170548</v>
      </c>
      <c r="L37" s="48">
        <f t="shared" si="30"/>
        <v>2846142.2899557576</v>
      </c>
      <c r="M37" s="48">
        <f t="shared" si="30"/>
        <v>2931290.3164783148</v>
      </c>
      <c r="N37" s="48">
        <f t="shared" si="30"/>
        <v>3014678.742003303</v>
      </c>
      <c r="O37" s="48">
        <f t="shared" si="30"/>
        <v>3096416.2847619727</v>
      </c>
    </row>
    <row r="38" spans="1:15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5">
      <c r="A39" s="10" t="s">
        <v>47</v>
      </c>
      <c r="B39" s="17">
        <v>2023</v>
      </c>
      <c r="C39" s="17">
        <f t="shared" ref="C39:O39" si="31">B39+1</f>
        <v>2024</v>
      </c>
      <c r="D39" s="17">
        <f t="shared" si="31"/>
        <v>2025</v>
      </c>
      <c r="E39" s="17">
        <f t="shared" si="31"/>
        <v>2026</v>
      </c>
      <c r="F39" s="17">
        <f t="shared" si="31"/>
        <v>2027</v>
      </c>
      <c r="G39" s="17">
        <f t="shared" si="31"/>
        <v>2028</v>
      </c>
      <c r="H39" s="17">
        <f t="shared" si="31"/>
        <v>2029</v>
      </c>
      <c r="I39" s="17">
        <f t="shared" si="31"/>
        <v>2030</v>
      </c>
      <c r="J39" s="17">
        <f t="shared" si="31"/>
        <v>2031</v>
      </c>
      <c r="K39" s="17">
        <f t="shared" si="31"/>
        <v>2032</v>
      </c>
      <c r="L39" s="17">
        <f t="shared" si="31"/>
        <v>2033</v>
      </c>
      <c r="M39" s="17">
        <f t="shared" si="31"/>
        <v>2034</v>
      </c>
      <c r="N39" s="17">
        <f t="shared" si="31"/>
        <v>2035</v>
      </c>
      <c r="O39" s="17">
        <f t="shared" si="31"/>
        <v>2036</v>
      </c>
    </row>
    <row r="40" spans="1:15" x14ac:dyDescent="0.35">
      <c r="A40" s="1" t="s">
        <v>8</v>
      </c>
      <c r="B40" s="14">
        <v>596036</v>
      </c>
      <c r="C40" s="14">
        <v>596000</v>
      </c>
      <c r="D40" s="14">
        <f>C40</f>
        <v>596000</v>
      </c>
      <c r="E40" s="14">
        <f t="shared" ref="E40:O40" si="32">D40</f>
        <v>596000</v>
      </c>
      <c r="F40" s="14">
        <f t="shared" si="32"/>
        <v>596000</v>
      </c>
      <c r="G40" s="14">
        <f t="shared" si="32"/>
        <v>596000</v>
      </c>
      <c r="H40" s="14">
        <f t="shared" si="32"/>
        <v>596000</v>
      </c>
      <c r="I40" s="14">
        <f t="shared" si="32"/>
        <v>596000</v>
      </c>
      <c r="J40" s="14">
        <f t="shared" si="32"/>
        <v>596000</v>
      </c>
      <c r="K40" s="14">
        <f t="shared" si="32"/>
        <v>596000</v>
      </c>
      <c r="L40" s="14">
        <f t="shared" si="32"/>
        <v>596000</v>
      </c>
      <c r="M40" s="14">
        <f t="shared" si="32"/>
        <v>596000</v>
      </c>
      <c r="N40" s="14">
        <f t="shared" si="32"/>
        <v>596000</v>
      </c>
      <c r="O40" s="14">
        <f t="shared" si="32"/>
        <v>596000</v>
      </c>
    </row>
    <row r="41" spans="1:15" x14ac:dyDescent="0.35">
      <c r="A41" s="1" t="s">
        <v>9</v>
      </c>
      <c r="B41" s="8">
        <f t="shared" ref="B41:O41" si="33">SUM(B42:B45)</f>
        <v>572618.60000000009</v>
      </c>
      <c r="C41" s="8">
        <f t="shared" si="33"/>
        <v>572618.60000000009</v>
      </c>
      <c r="D41" s="8">
        <f t="shared" si="33"/>
        <v>572618.60000000009</v>
      </c>
      <c r="E41" s="8">
        <f t="shared" si="33"/>
        <v>572618.60000000009</v>
      </c>
      <c r="F41" s="8">
        <f t="shared" si="33"/>
        <v>572618.60000000009</v>
      </c>
      <c r="G41" s="8">
        <f t="shared" si="33"/>
        <v>572618.60000000009</v>
      </c>
      <c r="H41" s="8">
        <f t="shared" si="33"/>
        <v>572618.60000000009</v>
      </c>
      <c r="I41" s="8">
        <f t="shared" si="33"/>
        <v>572618.60000000009</v>
      </c>
      <c r="J41" s="8">
        <f t="shared" si="33"/>
        <v>572618.60000000009</v>
      </c>
      <c r="K41" s="8">
        <f t="shared" si="33"/>
        <v>572618.60000000009</v>
      </c>
      <c r="L41" s="8">
        <f t="shared" si="33"/>
        <v>572618.60000000009</v>
      </c>
      <c r="M41" s="8">
        <f t="shared" si="33"/>
        <v>572618.60000000009</v>
      </c>
      <c r="N41" s="8">
        <f t="shared" si="33"/>
        <v>572618.60000000009</v>
      </c>
      <c r="O41" s="8">
        <f t="shared" si="33"/>
        <v>572618.60000000009</v>
      </c>
    </row>
    <row r="42" spans="1:15" x14ac:dyDescent="0.35">
      <c r="A42" s="1" t="s">
        <v>49</v>
      </c>
      <c r="B42" s="8">
        <v>548825.80000000005</v>
      </c>
      <c r="C42" s="14">
        <f>B42</f>
        <v>548825.80000000005</v>
      </c>
      <c r="D42" s="14">
        <f t="shared" ref="D42" si="34">C42</f>
        <v>548825.80000000005</v>
      </c>
      <c r="E42" s="14">
        <f t="shared" ref="E42:O42" si="35">D42</f>
        <v>548825.80000000005</v>
      </c>
      <c r="F42" s="14">
        <f t="shared" si="35"/>
        <v>548825.80000000005</v>
      </c>
      <c r="G42" s="14">
        <f t="shared" si="35"/>
        <v>548825.80000000005</v>
      </c>
      <c r="H42" s="14">
        <f t="shared" si="35"/>
        <v>548825.80000000005</v>
      </c>
      <c r="I42" s="14">
        <f t="shared" si="35"/>
        <v>548825.80000000005</v>
      </c>
      <c r="J42" s="14">
        <f t="shared" si="35"/>
        <v>548825.80000000005</v>
      </c>
      <c r="K42" s="14">
        <f t="shared" si="35"/>
        <v>548825.80000000005</v>
      </c>
      <c r="L42" s="14">
        <f t="shared" si="35"/>
        <v>548825.80000000005</v>
      </c>
      <c r="M42" s="14">
        <f t="shared" si="35"/>
        <v>548825.80000000005</v>
      </c>
      <c r="N42" s="14">
        <f t="shared" si="35"/>
        <v>548825.80000000005</v>
      </c>
      <c r="O42" s="14">
        <f t="shared" si="35"/>
        <v>548825.80000000005</v>
      </c>
    </row>
    <row r="43" spans="1:15" x14ac:dyDescent="0.35">
      <c r="A43" s="1" t="s">
        <v>52</v>
      </c>
      <c r="B43" s="8">
        <v>6018</v>
      </c>
      <c r="C43" s="14">
        <f t="shared" ref="C43:O46" si="36">B43</f>
        <v>6018</v>
      </c>
      <c r="D43" s="14">
        <f t="shared" si="36"/>
        <v>6018</v>
      </c>
      <c r="E43" s="14">
        <f t="shared" si="36"/>
        <v>6018</v>
      </c>
      <c r="F43" s="14">
        <f t="shared" si="36"/>
        <v>6018</v>
      </c>
      <c r="G43" s="14">
        <f t="shared" si="36"/>
        <v>6018</v>
      </c>
      <c r="H43" s="14">
        <f t="shared" si="36"/>
        <v>6018</v>
      </c>
      <c r="I43" s="14">
        <f t="shared" si="36"/>
        <v>6018</v>
      </c>
      <c r="J43" s="14">
        <f t="shared" si="36"/>
        <v>6018</v>
      </c>
      <c r="K43" s="14">
        <f t="shared" si="36"/>
        <v>6018</v>
      </c>
      <c r="L43" s="14">
        <f t="shared" si="36"/>
        <v>6018</v>
      </c>
      <c r="M43" s="14">
        <f t="shared" si="36"/>
        <v>6018</v>
      </c>
      <c r="N43" s="14">
        <f t="shared" si="36"/>
        <v>6018</v>
      </c>
      <c r="O43" s="14">
        <f t="shared" si="36"/>
        <v>6018</v>
      </c>
    </row>
    <row r="44" spans="1:15" x14ac:dyDescent="0.35">
      <c r="A44" s="1" t="s">
        <v>51</v>
      </c>
      <c r="B44" s="8">
        <v>2677.8</v>
      </c>
      <c r="C44" s="14">
        <f t="shared" si="36"/>
        <v>2677.8</v>
      </c>
      <c r="D44" s="14">
        <f t="shared" si="36"/>
        <v>2677.8</v>
      </c>
      <c r="E44" s="14">
        <f t="shared" si="36"/>
        <v>2677.8</v>
      </c>
      <c r="F44" s="14">
        <f t="shared" si="36"/>
        <v>2677.8</v>
      </c>
      <c r="G44" s="14">
        <f t="shared" si="36"/>
        <v>2677.8</v>
      </c>
      <c r="H44" s="14">
        <f t="shared" si="36"/>
        <v>2677.8</v>
      </c>
      <c r="I44" s="14">
        <f t="shared" si="36"/>
        <v>2677.8</v>
      </c>
      <c r="J44" s="14">
        <f t="shared" si="36"/>
        <v>2677.8</v>
      </c>
      <c r="K44" s="14">
        <f t="shared" si="36"/>
        <v>2677.8</v>
      </c>
      <c r="L44" s="14">
        <f t="shared" si="36"/>
        <v>2677.8</v>
      </c>
      <c r="M44" s="14">
        <f t="shared" si="36"/>
        <v>2677.8</v>
      </c>
      <c r="N44" s="14">
        <f t="shared" si="36"/>
        <v>2677.8</v>
      </c>
      <c r="O44" s="14">
        <f t="shared" si="36"/>
        <v>2677.8</v>
      </c>
    </row>
    <row r="45" spans="1:15" x14ac:dyDescent="0.35">
      <c r="A45" s="1" t="s">
        <v>50</v>
      </c>
      <c r="B45" s="8">
        <v>15097</v>
      </c>
      <c r="C45" s="14">
        <f t="shared" si="36"/>
        <v>15097</v>
      </c>
      <c r="D45" s="14">
        <f t="shared" si="36"/>
        <v>15097</v>
      </c>
      <c r="E45" s="14">
        <f t="shared" si="36"/>
        <v>15097</v>
      </c>
      <c r="F45" s="14">
        <f t="shared" si="36"/>
        <v>15097</v>
      </c>
      <c r="G45" s="14">
        <f t="shared" si="36"/>
        <v>15097</v>
      </c>
      <c r="H45" s="14">
        <f t="shared" si="36"/>
        <v>15097</v>
      </c>
      <c r="I45" s="14">
        <f t="shared" si="36"/>
        <v>15097</v>
      </c>
      <c r="J45" s="14">
        <f t="shared" si="36"/>
        <v>15097</v>
      </c>
      <c r="K45" s="14">
        <f t="shared" si="36"/>
        <v>15097</v>
      </c>
      <c r="L45" s="14">
        <f t="shared" si="36"/>
        <v>15097</v>
      </c>
      <c r="M45" s="14">
        <f t="shared" si="36"/>
        <v>15097</v>
      </c>
      <c r="N45" s="14">
        <f t="shared" si="36"/>
        <v>15097</v>
      </c>
      <c r="O45" s="14">
        <f t="shared" si="36"/>
        <v>15097</v>
      </c>
    </row>
    <row r="46" spans="1:15" x14ac:dyDescent="0.35">
      <c r="A46" s="1" t="s">
        <v>58</v>
      </c>
      <c r="B46" s="8">
        <v>4294</v>
      </c>
      <c r="C46" s="14">
        <f t="shared" si="36"/>
        <v>4294</v>
      </c>
      <c r="D46" s="14">
        <f t="shared" si="36"/>
        <v>4294</v>
      </c>
      <c r="E46" s="14">
        <f t="shared" si="36"/>
        <v>4294</v>
      </c>
      <c r="F46" s="14">
        <f t="shared" si="36"/>
        <v>4294</v>
      </c>
      <c r="G46" s="14">
        <f t="shared" si="36"/>
        <v>4294</v>
      </c>
      <c r="H46" s="14">
        <f t="shared" si="36"/>
        <v>4294</v>
      </c>
      <c r="I46" s="14">
        <f t="shared" si="36"/>
        <v>4294</v>
      </c>
      <c r="J46" s="14">
        <f t="shared" si="36"/>
        <v>4294</v>
      </c>
      <c r="K46" s="14">
        <f t="shared" si="36"/>
        <v>4294</v>
      </c>
      <c r="L46" s="14">
        <f t="shared" si="36"/>
        <v>4294</v>
      </c>
      <c r="M46" s="14">
        <f t="shared" si="36"/>
        <v>4294</v>
      </c>
      <c r="N46" s="14">
        <f t="shared" si="36"/>
        <v>4294</v>
      </c>
      <c r="O46" s="14">
        <f t="shared" si="36"/>
        <v>4294</v>
      </c>
    </row>
    <row r="47" spans="1:15" x14ac:dyDescent="0.35">
      <c r="A47" s="11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15" x14ac:dyDescent="0.35">
      <c r="A48" s="10" t="s">
        <v>62</v>
      </c>
      <c r="B48" s="17">
        <v>2023</v>
      </c>
      <c r="C48" s="17">
        <v>2024</v>
      </c>
      <c r="D48" s="17">
        <f t="shared" ref="D48:O48" si="37">C48+1</f>
        <v>2025</v>
      </c>
      <c r="E48" s="17">
        <f t="shared" si="37"/>
        <v>2026</v>
      </c>
      <c r="F48" s="17">
        <f t="shared" si="37"/>
        <v>2027</v>
      </c>
      <c r="G48" s="17">
        <f t="shared" si="37"/>
        <v>2028</v>
      </c>
      <c r="H48" s="17">
        <f t="shared" si="37"/>
        <v>2029</v>
      </c>
      <c r="I48" s="17">
        <f t="shared" si="37"/>
        <v>2030</v>
      </c>
      <c r="J48" s="17">
        <f t="shared" si="37"/>
        <v>2031</v>
      </c>
      <c r="K48" s="17">
        <f t="shared" si="37"/>
        <v>2032</v>
      </c>
      <c r="L48" s="17">
        <f t="shared" si="37"/>
        <v>2033</v>
      </c>
      <c r="M48" s="17">
        <f t="shared" si="37"/>
        <v>2034</v>
      </c>
      <c r="N48" s="17">
        <f t="shared" si="37"/>
        <v>2035</v>
      </c>
      <c r="O48" s="17">
        <f t="shared" si="37"/>
        <v>2036</v>
      </c>
    </row>
    <row r="49" spans="1:15" x14ac:dyDescent="0.35">
      <c r="A49" s="39" t="s">
        <v>64</v>
      </c>
      <c r="B49" s="17"/>
      <c r="C49" s="33">
        <f>1.228*1/6+1.407*5/6</f>
        <v>1.3771666666666667</v>
      </c>
      <c r="D49" s="33">
        <f>C49*1.1704073</f>
        <v>1.6118459199833333</v>
      </c>
      <c r="E49" s="33">
        <f>D49*1.0293907</f>
        <v>1.6592191998637873</v>
      </c>
      <c r="F49" s="33">
        <f>E49*1.0270555</f>
        <v>1.7041102049257018</v>
      </c>
      <c r="G49" s="33">
        <f>F49*1.0256151</f>
        <v>1.7477611582358941</v>
      </c>
      <c r="H49" s="33">
        <f>G49*1.0239625</f>
        <v>1.7896418849901219</v>
      </c>
      <c r="I49" s="33">
        <f>H49*1.0256951</f>
        <v>1.8356269121891318</v>
      </c>
      <c r="J49" s="33">
        <f>I49*1.0284267</f>
        <v>1.8878077277338585</v>
      </c>
      <c r="K49" s="33">
        <f>J49*1.030817</f>
        <v>1.9459842984794331</v>
      </c>
      <c r="L49" s="33">
        <f>K49*1.0315386</f>
        <v>2.0073579188754564</v>
      </c>
      <c r="M49" s="33">
        <f>L49*1.029917</f>
        <v>2.0674120457344536</v>
      </c>
      <c r="N49" s="33">
        <f>M49*1.0284478</f>
        <v>2.1262253701290978</v>
      </c>
      <c r="O49" s="33">
        <f>N49*1.0271133</f>
        <v>2.1838743564570189</v>
      </c>
    </row>
    <row r="50" spans="1:15" x14ac:dyDescent="0.35">
      <c r="A50" s="1" t="s">
        <v>65</v>
      </c>
      <c r="B50" s="17"/>
      <c r="C50" s="33">
        <f>1.764*1/6+1.969*5/6</f>
        <v>1.9348333333333334</v>
      </c>
      <c r="D50" s="33">
        <f t="shared" ref="D50:D54" si="38">C50*1.1704073</f>
        <v>2.2645430576166667</v>
      </c>
      <c r="E50" s="33">
        <f t="shared" ref="E50:E53" si="39">D50*1.0293907</f>
        <v>2.3310995632601608</v>
      </c>
      <c r="F50" s="33">
        <f t="shared" ref="F50:F53" si="40">E50*1.0270555</f>
        <v>2.3941686274939458</v>
      </c>
      <c r="G50" s="33">
        <f t="shared" ref="G50:G53" si="41">F50*1.0256151</f>
        <v>2.4554954963040658</v>
      </c>
      <c r="H50" s="33">
        <f t="shared" ref="H50:H53" si="42">G50*1.0239625</f>
        <v>2.5143353071342522</v>
      </c>
      <c r="I50" s="33">
        <f t="shared" ref="I50:I53" si="43">H50*1.0256951</f>
        <v>2.5789414042845977</v>
      </c>
      <c r="J50" s="33">
        <f t="shared" ref="J50:J53" si="44">I50*1.0284267</f>
        <v>2.6522521979017748</v>
      </c>
      <c r="K50" s="33">
        <f t="shared" ref="K50:K53" si="45">J50*1.030817</f>
        <v>2.7339866538845139</v>
      </c>
      <c r="L50" s="33">
        <f t="shared" ref="L50:L53" si="46">K50*1.0315386</f>
        <v>2.8202127653667159</v>
      </c>
      <c r="M50" s="33">
        <f t="shared" ref="M50:M53" si="47">L50*1.029917</f>
        <v>2.9045850706681917</v>
      </c>
      <c r="N50" s="33">
        <f t="shared" ref="N50:N53" si="48">M50*1.0284478</f>
        <v>2.9872141258415459</v>
      </c>
      <c r="O50" s="33">
        <f t="shared" ref="O50:O53" si="49">N50*1.0271133</f>
        <v>3.0682073585997252</v>
      </c>
    </row>
    <row r="51" spans="1:15" x14ac:dyDescent="0.35">
      <c r="A51" s="1" t="s">
        <v>66</v>
      </c>
      <c r="B51" s="17"/>
      <c r="C51" s="50">
        <f>2.289*1/6+2.465*5/6</f>
        <v>2.4356666666666666</v>
      </c>
      <c r="D51" s="33">
        <f t="shared" si="38"/>
        <v>2.850722047033333</v>
      </c>
      <c r="E51" s="33">
        <f t="shared" si="39"/>
        <v>2.9345067635010755</v>
      </c>
      <c r="F51" s="33">
        <f t="shared" si="40"/>
        <v>3.0139013112409785</v>
      </c>
      <c r="G51" s="33">
        <f t="shared" si="41"/>
        <v>3.0911026947185474</v>
      </c>
      <c r="H51" s="33">
        <f t="shared" si="42"/>
        <v>3.1651732430407411</v>
      </c>
      <c r="I51" s="33">
        <f t="shared" si="43"/>
        <v>3.2465026860379975</v>
      </c>
      <c r="J51" s="33">
        <f t="shared" si="44"/>
        <v>3.3387900439431939</v>
      </c>
      <c r="K51" s="33">
        <f t="shared" si="45"/>
        <v>3.4416815367273914</v>
      </c>
      <c r="L51" s="33">
        <f t="shared" si="46"/>
        <v>3.5502273540416218</v>
      </c>
      <c r="M51" s="33">
        <f t="shared" si="47"/>
        <v>3.656439505792485</v>
      </c>
      <c r="N51" s="33">
        <f t="shared" si="48"/>
        <v>3.7604571655653682</v>
      </c>
      <c r="O51" s="33">
        <f t="shared" si="49"/>
        <v>3.8624155688324913</v>
      </c>
    </row>
    <row r="52" spans="1:15" x14ac:dyDescent="0.35">
      <c r="A52" s="1" t="s">
        <v>67</v>
      </c>
      <c r="B52" s="51"/>
      <c r="C52" s="50">
        <f>2.595*1/6+2.738*5/6</f>
        <v>2.7141666666666668</v>
      </c>
      <c r="D52" s="33">
        <f t="shared" si="38"/>
        <v>3.1766804800833333</v>
      </c>
      <c r="E52" s="33">
        <f t="shared" si="39"/>
        <v>3.2700453430693184</v>
      </c>
      <c r="F52" s="33">
        <f t="shared" si="40"/>
        <v>3.3585180548487301</v>
      </c>
      <c r="G52" s="33">
        <f t="shared" si="41"/>
        <v>3.4445468306754856</v>
      </c>
      <c r="H52" s="33">
        <f t="shared" si="42"/>
        <v>3.5270867841055473</v>
      </c>
      <c r="I52" s="33">
        <f t="shared" si="43"/>
        <v>3.617715631731818</v>
      </c>
      <c r="J52" s="33">
        <f t="shared" si="44"/>
        <v>3.7205553486803691</v>
      </c>
      <c r="K52" s="33">
        <f t="shared" si="45"/>
        <v>3.8352117028606525</v>
      </c>
      <c r="L52" s="33">
        <f t="shared" si="46"/>
        <v>3.9561689106724933</v>
      </c>
      <c r="M52" s="33">
        <f t="shared" si="47"/>
        <v>4.0745256159730818</v>
      </c>
      <c r="N52" s="33">
        <f t="shared" si="48"/>
        <v>4.1904369057911603</v>
      </c>
      <c r="O52" s="33">
        <f t="shared" si="49"/>
        <v>4.3040534787489477</v>
      </c>
    </row>
    <row r="53" spans="1:15" x14ac:dyDescent="0.35">
      <c r="A53" s="1" t="s">
        <v>68</v>
      </c>
      <c r="B53" s="51"/>
      <c r="C53" s="50">
        <f>3.094*1/6+3.198*5/6</f>
        <v>3.1806666666666668</v>
      </c>
      <c r="D53" s="33">
        <f t="shared" si="38"/>
        <v>3.7226754855333333</v>
      </c>
      <c r="E53" s="33">
        <f t="shared" si="39"/>
        <v>3.8320875239259977</v>
      </c>
      <c r="F53" s="33">
        <f t="shared" si="40"/>
        <v>3.9357665679295772</v>
      </c>
      <c r="G53" s="33">
        <f t="shared" si="41"/>
        <v>4.0365816221437498</v>
      </c>
      <c r="H53" s="33">
        <f t="shared" si="42"/>
        <v>4.1333082092643698</v>
      </c>
      <c r="I53" s="33">
        <f t="shared" si="43"/>
        <v>4.2395139770322388</v>
      </c>
      <c r="J53" s="33">
        <f t="shared" si="44"/>
        <v>4.3600293690031409</v>
      </c>
      <c r="K53" s="33">
        <f t="shared" si="45"/>
        <v>4.4943923940677113</v>
      </c>
      <c r="L53" s="33">
        <f t="shared" si="46"/>
        <v>4.6361392380272548</v>
      </c>
      <c r="M53" s="33">
        <f t="shared" si="47"/>
        <v>4.7748386156113156</v>
      </c>
      <c r="N53" s="33">
        <f t="shared" si="48"/>
        <v>4.9106722695805027</v>
      </c>
      <c r="O53" s="33">
        <f t="shared" si="49"/>
        <v>5.0438168000273196</v>
      </c>
    </row>
    <row r="54" spans="1:15" x14ac:dyDescent="0.35">
      <c r="A54" s="1" t="s">
        <v>60</v>
      </c>
      <c r="B54" s="51"/>
      <c r="C54" s="50">
        <v>8.0500000000000007</v>
      </c>
      <c r="D54" s="33">
        <f t="shared" si="38"/>
        <v>9.4217787650000009</v>
      </c>
      <c r="E54" s="33">
        <f t="shared" ref="E54" si="50">D54*1.0293905</f>
        <v>9.6986895537927342</v>
      </c>
      <c r="F54" s="33">
        <f t="shared" ref="F54" si="51">E54*1.0270554</f>
        <v>9.9610914791464182</v>
      </c>
      <c r="G54" s="33">
        <f t="shared" ref="G54:O54" si="52">F54*(1+G4)</f>
        <v>10.18023549168764</v>
      </c>
      <c r="H54" s="33">
        <f t="shared" si="52"/>
        <v>10.383840201521393</v>
      </c>
      <c r="I54" s="33">
        <f t="shared" si="52"/>
        <v>10.59151700555182</v>
      </c>
      <c r="J54" s="33">
        <f t="shared" si="52"/>
        <v>10.803347345662857</v>
      </c>
      <c r="K54" s="33">
        <f t="shared" si="52"/>
        <v>11.019414292576114</v>
      </c>
      <c r="L54" s="33">
        <f t="shared" si="52"/>
        <v>11.239802578427636</v>
      </c>
      <c r="M54" s="33">
        <f t="shared" si="52"/>
        <v>11.464598629996189</v>
      </c>
      <c r="N54" s="33">
        <f t="shared" si="52"/>
        <v>11.693890602596113</v>
      </c>
      <c r="O54" s="33">
        <f t="shared" si="52"/>
        <v>11.927768414648035</v>
      </c>
    </row>
    <row r="55" spans="1:15" x14ac:dyDescent="0.35">
      <c r="A55" s="11"/>
      <c r="B55" s="28"/>
      <c r="C55" s="42"/>
      <c r="D55" s="43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15" x14ac:dyDescent="0.35">
      <c r="A56" s="10" t="s">
        <v>38</v>
      </c>
      <c r="B56" s="16"/>
      <c r="C56" s="52">
        <f t="shared" ref="C56:O56" si="53">C40*C49+C42*C50+C43*C51+C44*C52+C45*C53</f>
        <v>1952622.1475333336</v>
      </c>
      <c r="D56" s="52">
        <f t="shared" si="53"/>
        <v>2285363.2156146904</v>
      </c>
      <c r="E56" s="52">
        <f t="shared" si="53"/>
        <v>2352531.6402758569</v>
      </c>
      <c r="F56" s="52">
        <f t="shared" si="53"/>
        <v>2416180.5600693403</v>
      </c>
      <c r="G56" s="52">
        <f t="shared" si="53"/>
        <v>2478071.2667335719</v>
      </c>
      <c r="H56" s="52">
        <f t="shared" si="53"/>
        <v>2537452.0494626756</v>
      </c>
      <c r="I56" s="52">
        <f t="shared" si="53"/>
        <v>2602652.1336188246</v>
      </c>
      <c r="J56" s="52">
        <f t="shared" si="53"/>
        <v>2676636.9450255665</v>
      </c>
      <c r="K56" s="52">
        <f t="shared" si="53"/>
        <v>2759122.8657604195</v>
      </c>
      <c r="L56" s="52">
        <f t="shared" si="53"/>
        <v>2846141.7381744911</v>
      </c>
      <c r="M56" s="52">
        <f t="shared" si="53"/>
        <v>2931289.7605554573</v>
      </c>
      <c r="N56" s="52">
        <f t="shared" si="53"/>
        <v>3014678.505405786</v>
      </c>
      <c r="O56" s="52">
        <f t="shared" si="53"/>
        <v>3096416.3881264045</v>
      </c>
    </row>
    <row r="57" spans="1:15" x14ac:dyDescent="0.35">
      <c r="A57" s="10" t="s">
        <v>63</v>
      </c>
      <c r="B57" s="16"/>
      <c r="C57" s="52">
        <f>C59-C58</f>
        <v>2152461.472701733</v>
      </c>
      <c r="D57" s="52">
        <f t="shared" ref="D57:O57" si="54">D59-D58</f>
        <v>2287363.1987212296</v>
      </c>
      <c r="E57" s="52">
        <f t="shared" si="54"/>
        <v>2353531.5362364235</v>
      </c>
      <c r="F57" s="52">
        <f t="shared" si="54"/>
        <v>2416180.6632220997</v>
      </c>
      <c r="G57" s="52">
        <f t="shared" si="54"/>
        <v>2478071.4414218585</v>
      </c>
      <c r="H57" s="52">
        <f t="shared" si="54"/>
        <v>2537451.526610902</v>
      </c>
      <c r="I57" s="52">
        <f t="shared" si="54"/>
        <v>2602651.8128438797</v>
      </c>
      <c r="J57" s="52">
        <f t="shared" si="54"/>
        <v>2676636.8991504041</v>
      </c>
      <c r="K57" s="52">
        <f t="shared" si="54"/>
        <v>2759122.6642170548</v>
      </c>
      <c r="L57" s="52">
        <f t="shared" si="54"/>
        <v>2846142.2899557576</v>
      </c>
      <c r="M57" s="52">
        <f t="shared" si="54"/>
        <v>2931290.3164783148</v>
      </c>
      <c r="N57" s="52">
        <f t="shared" si="54"/>
        <v>3014678.742003303</v>
      </c>
      <c r="O57" s="52">
        <f t="shared" si="54"/>
        <v>3096416.2847619727</v>
      </c>
    </row>
    <row r="58" spans="1:15" x14ac:dyDescent="0.35">
      <c r="A58" s="10" t="s">
        <v>59</v>
      </c>
      <c r="B58" s="16"/>
      <c r="C58" s="52">
        <f>C46*C54</f>
        <v>34566.700000000004</v>
      </c>
      <c r="D58" s="52">
        <f t="shared" ref="D58:O58" si="55">D46*D54</f>
        <v>40457.118016910004</v>
      </c>
      <c r="E58" s="52">
        <f t="shared" si="55"/>
        <v>41646.172943985999</v>
      </c>
      <c r="F58" s="52">
        <f t="shared" si="55"/>
        <v>42772.926811454723</v>
      </c>
      <c r="G58" s="52">
        <f t="shared" si="55"/>
        <v>43713.931201306725</v>
      </c>
      <c r="H58" s="52">
        <f t="shared" si="55"/>
        <v>44588.209825332859</v>
      </c>
      <c r="I58" s="52">
        <f t="shared" si="55"/>
        <v>45479.974021839516</v>
      </c>
      <c r="J58" s="52">
        <f t="shared" si="55"/>
        <v>46389.573502276311</v>
      </c>
      <c r="K58" s="52">
        <f t="shared" si="55"/>
        <v>47317.364972321833</v>
      </c>
      <c r="L58" s="52">
        <f t="shared" si="55"/>
        <v>48263.712271768265</v>
      </c>
      <c r="M58" s="52">
        <f t="shared" si="55"/>
        <v>49228.986517203637</v>
      </c>
      <c r="N58" s="52">
        <f t="shared" si="55"/>
        <v>50213.566247547707</v>
      </c>
      <c r="O58" s="52">
        <f t="shared" si="55"/>
        <v>51217.837572498662</v>
      </c>
    </row>
    <row r="59" spans="1:15" x14ac:dyDescent="0.35">
      <c r="A59" s="53" t="s">
        <v>61</v>
      </c>
      <c r="B59" s="53"/>
      <c r="C59" s="54">
        <f>C37</f>
        <v>2187028.1727017332</v>
      </c>
      <c r="D59" s="54">
        <f t="shared" ref="D59:O59" si="56">D37+D58</f>
        <v>2327820.3167381394</v>
      </c>
      <c r="E59" s="54">
        <f t="shared" si="56"/>
        <v>2395177.7091804096</v>
      </c>
      <c r="F59" s="54">
        <f t="shared" si="56"/>
        <v>2458953.5900335545</v>
      </c>
      <c r="G59" s="54">
        <f t="shared" si="56"/>
        <v>2521785.3726231651</v>
      </c>
      <c r="H59" s="54">
        <f t="shared" si="56"/>
        <v>2582039.7364362348</v>
      </c>
      <c r="I59" s="54">
        <f t="shared" si="56"/>
        <v>2648131.7868657191</v>
      </c>
      <c r="J59" s="54">
        <f t="shared" si="56"/>
        <v>2723026.4726526802</v>
      </c>
      <c r="K59" s="54">
        <f t="shared" si="56"/>
        <v>2806440.0291893766</v>
      </c>
      <c r="L59" s="54">
        <f t="shared" si="56"/>
        <v>2894406.0022275257</v>
      </c>
      <c r="M59" s="54">
        <f t="shared" si="56"/>
        <v>2980519.3029955183</v>
      </c>
      <c r="N59" s="54">
        <f t="shared" si="56"/>
        <v>3064892.3082508505</v>
      </c>
      <c r="O59" s="54">
        <f t="shared" si="56"/>
        <v>3147634.1223344714</v>
      </c>
    </row>
    <row r="60" spans="1:15" ht="6.65" customHeight="1" x14ac:dyDescent="0.35">
      <c r="A60" s="11"/>
    </row>
    <row r="61" spans="1:15" ht="21.65" hidden="1" customHeight="1" x14ac:dyDescent="0.3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ht="12" customHeight="1" x14ac:dyDescent="0.3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x14ac:dyDescent="0.35">
      <c r="A63" s="10" t="s">
        <v>69</v>
      </c>
      <c r="B63" s="30"/>
      <c r="C63" s="31">
        <v>70</v>
      </c>
      <c r="D63" s="31">
        <v>70</v>
      </c>
      <c r="E63" s="31">
        <v>70</v>
      </c>
      <c r="F63" s="31">
        <v>70</v>
      </c>
      <c r="G63" s="31">
        <v>70</v>
      </c>
      <c r="H63" s="31">
        <v>70</v>
      </c>
      <c r="I63" s="31">
        <v>70</v>
      </c>
      <c r="J63" s="31">
        <v>70</v>
      </c>
      <c r="K63" s="31">
        <v>70</v>
      </c>
      <c r="L63" s="31">
        <v>70</v>
      </c>
      <c r="M63" s="31">
        <v>70</v>
      </c>
      <c r="N63" s="31">
        <v>70</v>
      </c>
      <c r="O63" s="31">
        <v>70</v>
      </c>
    </row>
    <row r="64" spans="1:15" x14ac:dyDescent="0.35">
      <c r="A64" s="10" t="s">
        <v>70</v>
      </c>
      <c r="B64" s="26"/>
      <c r="C64" s="8">
        <f>923.3*(1+B4)*(1+C4)</f>
        <v>1050.0070442399999</v>
      </c>
      <c r="D64" s="8">
        <f t="shared" ref="D64:O64" si="57">C64*(1+D4)</f>
        <v>1102.507396452</v>
      </c>
      <c r="E64" s="8">
        <f t="shared" si="57"/>
        <v>1137.7876331384639</v>
      </c>
      <c r="F64" s="8">
        <f t="shared" si="57"/>
        <v>1163.9567487006484</v>
      </c>
      <c r="G64" s="8">
        <f t="shared" si="57"/>
        <v>1189.5637971720628</v>
      </c>
      <c r="H64" s="8">
        <f t="shared" si="57"/>
        <v>1213.355073115504</v>
      </c>
      <c r="I64" s="8">
        <f t="shared" si="57"/>
        <v>1237.6221745778141</v>
      </c>
      <c r="J64" s="8">
        <f t="shared" si="57"/>
        <v>1262.3746180693704</v>
      </c>
      <c r="K64" s="8">
        <f t="shared" si="57"/>
        <v>1287.6221104307579</v>
      </c>
      <c r="L64" s="8">
        <f t="shared" si="57"/>
        <v>1313.374552639373</v>
      </c>
      <c r="M64" s="8">
        <f t="shared" si="57"/>
        <v>1339.6420436921605</v>
      </c>
      <c r="N64" s="8">
        <f t="shared" si="57"/>
        <v>1366.4348845660038</v>
      </c>
      <c r="O64" s="8">
        <f t="shared" si="57"/>
        <v>1393.7635822573238</v>
      </c>
    </row>
    <row r="65" spans="1:15" x14ac:dyDescent="0.35">
      <c r="A65" s="10" t="s">
        <v>28</v>
      </c>
      <c r="B65" s="32"/>
      <c r="C65" s="55">
        <f>C49</f>
        <v>1.3771666666666667</v>
      </c>
      <c r="D65" s="55">
        <f t="shared" ref="D65:O65" si="58">D49</f>
        <v>1.6118459199833333</v>
      </c>
      <c r="E65" s="55">
        <f t="shared" si="58"/>
        <v>1.6592191998637873</v>
      </c>
      <c r="F65" s="55">
        <f t="shared" si="58"/>
        <v>1.7041102049257018</v>
      </c>
      <c r="G65" s="55">
        <f t="shared" si="58"/>
        <v>1.7477611582358941</v>
      </c>
      <c r="H65" s="55">
        <f t="shared" si="58"/>
        <v>1.7896418849901219</v>
      </c>
      <c r="I65" s="55">
        <f t="shared" si="58"/>
        <v>1.8356269121891318</v>
      </c>
      <c r="J65" s="55">
        <f t="shared" si="58"/>
        <v>1.8878077277338585</v>
      </c>
      <c r="K65" s="55">
        <f t="shared" si="58"/>
        <v>1.9459842984794331</v>
      </c>
      <c r="L65" s="55">
        <f t="shared" si="58"/>
        <v>2.0073579188754564</v>
      </c>
      <c r="M65" s="55">
        <f t="shared" si="58"/>
        <v>2.0674120457344536</v>
      </c>
      <c r="N65" s="55">
        <f t="shared" si="58"/>
        <v>2.1262253701290978</v>
      </c>
      <c r="O65" s="55">
        <f t="shared" si="58"/>
        <v>2.1838743564570189</v>
      </c>
    </row>
    <row r="66" spans="1:15" x14ac:dyDescent="0.35">
      <c r="A66" s="10" t="s">
        <v>29</v>
      </c>
      <c r="B66" s="32"/>
      <c r="C66" s="55">
        <f>C50</f>
        <v>1.9348333333333334</v>
      </c>
      <c r="D66" s="55">
        <f t="shared" ref="D66:O66" si="59">D50</f>
        <v>2.2645430576166667</v>
      </c>
      <c r="E66" s="55">
        <f t="shared" si="59"/>
        <v>2.3310995632601608</v>
      </c>
      <c r="F66" s="55">
        <f t="shared" si="59"/>
        <v>2.3941686274939458</v>
      </c>
      <c r="G66" s="55">
        <f t="shared" si="59"/>
        <v>2.4554954963040658</v>
      </c>
      <c r="H66" s="55">
        <f t="shared" si="59"/>
        <v>2.5143353071342522</v>
      </c>
      <c r="I66" s="55">
        <f t="shared" si="59"/>
        <v>2.5789414042845977</v>
      </c>
      <c r="J66" s="55">
        <f t="shared" si="59"/>
        <v>2.6522521979017748</v>
      </c>
      <c r="K66" s="55">
        <f t="shared" si="59"/>
        <v>2.7339866538845139</v>
      </c>
      <c r="L66" s="55">
        <f t="shared" si="59"/>
        <v>2.8202127653667159</v>
      </c>
      <c r="M66" s="55">
        <f t="shared" si="59"/>
        <v>2.9045850706681917</v>
      </c>
      <c r="N66" s="55">
        <f t="shared" si="59"/>
        <v>2.9872141258415459</v>
      </c>
      <c r="O66" s="55">
        <f t="shared" si="59"/>
        <v>3.0682073585997252</v>
      </c>
    </row>
    <row r="67" spans="1:15" x14ac:dyDescent="0.35">
      <c r="A67" s="10" t="s">
        <v>21</v>
      </c>
      <c r="B67" s="34"/>
      <c r="C67" s="35">
        <f>((C65*1.22*C63+C66*1.22*C63)*365/12/1000)</f>
        <v>8.6031960000000023</v>
      </c>
      <c r="D67" s="35">
        <f t="shared" ref="D67:O67" si="60">((D65*1.22*D63+D66*1.22*D63)*365/12/1000)</f>
        <v>10.069243401730798</v>
      </c>
      <c r="E67" s="35">
        <f t="shared" si="60"/>
        <v>10.365185513778046</v>
      </c>
      <c r="F67" s="35">
        <f t="shared" si="60"/>
        <v>10.64562079044607</v>
      </c>
      <c r="G67" s="35">
        <f t="shared" si="60"/>
        <v>10.918309431555423</v>
      </c>
      <c r="H67" s="35">
        <f t="shared" si="60"/>
        <v>11.179939421309072</v>
      </c>
      <c r="I67" s="35">
        <f t="shared" si="60"/>
        <v>11.467209082733554</v>
      </c>
      <c r="J67" s="35">
        <f t="shared" si="60"/>
        <v>11.793183995165695</v>
      </c>
      <c r="K67" s="35">
        <f t="shared" si="60"/>
        <v>12.156614546344716</v>
      </c>
      <c r="L67" s="35">
        <f t="shared" si="60"/>
        <v>12.540017149876061</v>
      </c>
      <c r="M67" s="35">
        <f t="shared" si="60"/>
        <v>12.915176842948902</v>
      </c>
      <c r="N67" s="35">
        <f t="shared" si="60"/>
        <v>13.282585210741745</v>
      </c>
      <c r="O67" s="35">
        <f t="shared" si="60"/>
        <v>13.642719928336147</v>
      </c>
    </row>
    <row r="68" spans="1:15" x14ac:dyDescent="0.35">
      <c r="A68" s="10" t="s">
        <v>22</v>
      </c>
      <c r="B68" s="36"/>
      <c r="C68" s="37">
        <f t="shared" ref="C68:O68" si="61">C67/C64</f>
        <v>8.1934650316817983E-3</v>
      </c>
      <c r="D68" s="37">
        <f t="shared" si="61"/>
        <v>9.133039319404861E-3</v>
      </c>
      <c r="E68" s="37">
        <f t="shared" si="61"/>
        <v>9.1099474206683059E-3</v>
      </c>
      <c r="F68" s="37">
        <f t="shared" si="61"/>
        <v>9.1460621731262962E-3</v>
      </c>
      <c r="G68" s="37">
        <f t="shared" si="61"/>
        <v>9.1784143544981801E-3</v>
      </c>
      <c r="H68" s="37">
        <f t="shared" si="61"/>
        <v>9.2140706945763196E-3</v>
      </c>
      <c r="I68" s="37">
        <f t="shared" si="61"/>
        <v>9.2655168259613025E-3</v>
      </c>
      <c r="J68" s="37">
        <f t="shared" si="61"/>
        <v>9.3420636207037812E-3</v>
      </c>
      <c r="K68" s="37">
        <f t="shared" si="61"/>
        <v>9.4411352895127539E-3</v>
      </c>
      <c r="L68" s="37">
        <f t="shared" si="61"/>
        <v>9.5479367440731173E-3</v>
      </c>
      <c r="M68" s="37">
        <f t="shared" si="61"/>
        <v>9.6407670271034807E-3</v>
      </c>
      <c r="N68" s="37">
        <f t="shared" si="61"/>
        <v>9.7206133718991325E-3</v>
      </c>
      <c r="O68" s="37">
        <f t="shared" si="61"/>
        <v>9.7884032141523965E-3</v>
      </c>
    </row>
    <row r="69" spans="1:15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x14ac:dyDescent="0.35">
      <c r="A70" s="10" t="s">
        <v>17</v>
      </c>
      <c r="B70" s="16"/>
      <c r="C70" s="16">
        <f t="shared" ref="C70:O70" si="62">C56+C58</f>
        <v>1987188.8475333336</v>
      </c>
      <c r="D70" s="16">
        <f t="shared" si="62"/>
        <v>2325820.3336316003</v>
      </c>
      <c r="E70" s="16">
        <f t="shared" si="62"/>
        <v>2394177.813219843</v>
      </c>
      <c r="F70" s="16">
        <f t="shared" si="62"/>
        <v>2458953.4868807951</v>
      </c>
      <c r="G70" s="16">
        <f t="shared" si="62"/>
        <v>2521785.1979348785</v>
      </c>
      <c r="H70" s="16">
        <f t="shared" si="62"/>
        <v>2582040.2592880083</v>
      </c>
      <c r="I70" s="16">
        <f t="shared" si="62"/>
        <v>2648132.1076406641</v>
      </c>
      <c r="J70" s="16">
        <f t="shared" si="62"/>
        <v>2723026.5185278426</v>
      </c>
      <c r="K70" s="16">
        <f t="shared" si="62"/>
        <v>2806440.2307327413</v>
      </c>
      <c r="L70" s="16">
        <f t="shared" si="62"/>
        <v>2894405.4504462592</v>
      </c>
      <c r="M70" s="16">
        <f t="shared" si="62"/>
        <v>2980518.7470726608</v>
      </c>
      <c r="N70" s="16">
        <f t="shared" si="62"/>
        <v>3064892.0716533335</v>
      </c>
      <c r="O70" s="16">
        <f t="shared" si="62"/>
        <v>3147634.2256989032</v>
      </c>
    </row>
    <row r="71" spans="1:15" x14ac:dyDescent="0.35">
      <c r="A71" s="11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x14ac:dyDescent="0.35">
      <c r="A72" s="10" t="s">
        <v>72</v>
      </c>
      <c r="B72" s="9"/>
      <c r="C72" s="17">
        <v>2024</v>
      </c>
      <c r="D72" s="17">
        <f t="shared" ref="D72" si="63">C72+1</f>
        <v>2025</v>
      </c>
      <c r="E72" s="17">
        <f t="shared" ref="E72" si="64">D72+1</f>
        <v>2026</v>
      </c>
      <c r="F72" s="17">
        <f t="shared" ref="F72" si="65">E72+1</f>
        <v>2027</v>
      </c>
      <c r="G72" s="17">
        <f t="shared" ref="G72" si="66">F72+1</f>
        <v>2028</v>
      </c>
      <c r="H72" s="17">
        <f t="shared" ref="H72" si="67">G72+1</f>
        <v>2029</v>
      </c>
      <c r="I72" s="17">
        <f t="shared" ref="I72" si="68">H72+1</f>
        <v>2030</v>
      </c>
      <c r="J72" s="17">
        <f t="shared" ref="J72" si="69">I72+1</f>
        <v>2031</v>
      </c>
      <c r="K72" s="17">
        <f t="shared" ref="K72" si="70">J72+1</f>
        <v>2032</v>
      </c>
      <c r="L72" s="17">
        <f t="shared" ref="L72" si="71">K72+1</f>
        <v>2033</v>
      </c>
      <c r="M72" s="17">
        <f t="shared" ref="M72" si="72">L72+1</f>
        <v>2034</v>
      </c>
      <c r="N72" s="17">
        <f t="shared" ref="N72" si="73">M72+1</f>
        <v>2035</v>
      </c>
      <c r="O72" s="17">
        <f t="shared" ref="O72" si="74">N72+1</f>
        <v>2036</v>
      </c>
    </row>
    <row r="73" spans="1:15" x14ac:dyDescent="0.35">
      <c r="A73" s="9" t="s">
        <v>11</v>
      </c>
      <c r="B73" s="8"/>
      <c r="C73" s="8">
        <f t="shared" ref="C73:O73" si="75">C70</f>
        <v>1987188.8475333336</v>
      </c>
      <c r="D73" s="8">
        <f t="shared" si="75"/>
        <v>2325820.3336316003</v>
      </c>
      <c r="E73" s="8">
        <f t="shared" si="75"/>
        <v>2394177.813219843</v>
      </c>
      <c r="F73" s="8">
        <f t="shared" si="75"/>
        <v>2458953.4868807951</v>
      </c>
      <c r="G73" s="8">
        <f t="shared" si="75"/>
        <v>2521785.1979348785</v>
      </c>
      <c r="H73" s="8">
        <f t="shared" si="75"/>
        <v>2582040.2592880083</v>
      </c>
      <c r="I73" s="8">
        <f t="shared" si="75"/>
        <v>2648132.1076406641</v>
      </c>
      <c r="J73" s="8">
        <f t="shared" si="75"/>
        <v>2723026.5185278426</v>
      </c>
      <c r="K73" s="8">
        <f t="shared" si="75"/>
        <v>2806440.2307327413</v>
      </c>
      <c r="L73" s="8">
        <f t="shared" si="75"/>
        <v>2894405.4504462592</v>
      </c>
      <c r="M73" s="8">
        <f t="shared" si="75"/>
        <v>2980518.7470726608</v>
      </c>
      <c r="N73" s="8">
        <f t="shared" si="75"/>
        <v>3064892.0716533335</v>
      </c>
      <c r="O73" s="8">
        <f t="shared" si="75"/>
        <v>3147634.2256989032</v>
      </c>
    </row>
    <row r="74" spans="1:15" x14ac:dyDescent="0.35">
      <c r="A74" s="9" t="s">
        <v>26</v>
      </c>
      <c r="B74" s="8"/>
      <c r="C74" s="8">
        <f t="shared" ref="C74:O74" si="76">C30</f>
        <v>1519468</v>
      </c>
      <c r="D74" s="8">
        <f t="shared" si="76"/>
        <v>1605402.788648</v>
      </c>
      <c r="E74" s="8">
        <f t="shared" si="76"/>
        <v>1659534.8854446884</v>
      </c>
      <c r="F74" s="8">
        <f t="shared" si="76"/>
        <v>1701127.0220746249</v>
      </c>
      <c r="G74" s="8">
        <f t="shared" si="76"/>
        <v>1738551.8165602668</v>
      </c>
      <c r="H74" s="8">
        <f t="shared" si="76"/>
        <v>1773322.8528914719</v>
      </c>
      <c r="I74" s="8">
        <f t="shared" si="76"/>
        <v>1808789.3099493014</v>
      </c>
      <c r="J74" s="8">
        <f t="shared" si="76"/>
        <v>1844965.0961482874</v>
      </c>
      <c r="K74" s="8">
        <f t="shared" si="76"/>
        <v>1881864.3980712532</v>
      </c>
      <c r="L74" s="8">
        <f t="shared" si="76"/>
        <v>1919501.6860326785</v>
      </c>
      <c r="M74" s="8">
        <f t="shared" si="76"/>
        <v>1957891.719753332</v>
      </c>
      <c r="N74" s="8">
        <f t="shared" si="76"/>
        <v>1997049.554148399</v>
      </c>
      <c r="O74" s="8">
        <f t="shared" si="76"/>
        <v>2036990.545231367</v>
      </c>
    </row>
    <row r="75" spans="1:15" x14ac:dyDescent="0.35">
      <c r="A75" s="9" t="s">
        <v>39</v>
      </c>
      <c r="B75" s="8"/>
      <c r="C75" s="8">
        <f t="shared" ref="C75:O75" si="77">C73-C74</f>
        <v>467720.84753333358</v>
      </c>
      <c r="D75" s="8">
        <f t="shared" si="77"/>
        <v>720417.54498360027</v>
      </c>
      <c r="E75" s="8">
        <f t="shared" si="77"/>
        <v>734642.92777515459</v>
      </c>
      <c r="F75" s="8">
        <f t="shared" si="77"/>
        <v>757826.4648061702</v>
      </c>
      <c r="G75" s="8">
        <f t="shared" si="77"/>
        <v>783233.38137461175</v>
      </c>
      <c r="H75" s="8">
        <f t="shared" si="77"/>
        <v>808717.40639653639</v>
      </c>
      <c r="I75" s="8">
        <f t="shared" si="77"/>
        <v>839342.79769136268</v>
      </c>
      <c r="J75" s="8">
        <f t="shared" si="77"/>
        <v>878061.42237955518</v>
      </c>
      <c r="K75" s="8">
        <f t="shared" si="77"/>
        <v>924575.83266148809</v>
      </c>
      <c r="L75" s="8">
        <f t="shared" si="77"/>
        <v>974903.76441358076</v>
      </c>
      <c r="M75" s="8">
        <f t="shared" si="77"/>
        <v>1022627.0273193289</v>
      </c>
      <c r="N75" s="8">
        <f t="shared" si="77"/>
        <v>1067842.5175049345</v>
      </c>
      <c r="O75" s="8">
        <f t="shared" si="77"/>
        <v>1110643.6804675362</v>
      </c>
    </row>
    <row r="76" spans="1:15" x14ac:dyDescent="0.35">
      <c r="A76" s="9" t="s">
        <v>74</v>
      </c>
      <c r="B76" s="8"/>
      <c r="C76" s="8">
        <v>105197</v>
      </c>
      <c r="D76" s="8">
        <v>101219</v>
      </c>
      <c r="E76" s="8">
        <v>98211</v>
      </c>
      <c r="F76" s="8">
        <v>101961</v>
      </c>
      <c r="G76" s="8">
        <v>120033.5</v>
      </c>
      <c r="H76" s="8">
        <v>49718.75</v>
      </c>
      <c r="I76" s="8">
        <v>74593.75</v>
      </c>
      <c r="J76" s="8">
        <v>102281.25</v>
      </c>
      <c r="K76" s="8">
        <v>132656.25</v>
      </c>
      <c r="L76" s="8">
        <v>164968.75</v>
      </c>
      <c r="M76" s="8">
        <v>196031.25</v>
      </c>
      <c r="N76" s="8">
        <v>225843.75</v>
      </c>
      <c r="O76" s="8">
        <v>254406.25</v>
      </c>
    </row>
    <row r="77" spans="1:15" x14ac:dyDescent="0.35">
      <c r="A77" s="10" t="s">
        <v>19</v>
      </c>
      <c r="B77" s="13"/>
      <c r="C77" s="13">
        <f t="shared" ref="C77" si="78">C75/C76</f>
        <v>4.4461424520978126</v>
      </c>
      <c r="D77" s="13">
        <f>D75/D76</f>
        <v>7.1174141710904104</v>
      </c>
      <c r="E77" s="13">
        <f t="shared" ref="E77:O77" si="79">E75/E76</f>
        <v>7.4802509675612159</v>
      </c>
      <c r="F77" s="13">
        <f t="shared" si="79"/>
        <v>7.4325130668213353</v>
      </c>
      <c r="G77" s="13">
        <f t="shared" si="79"/>
        <v>6.5251232478817309</v>
      </c>
      <c r="H77" s="13">
        <f t="shared" si="79"/>
        <v>16.265843497604756</v>
      </c>
      <c r="I77" s="13">
        <f t="shared" si="79"/>
        <v>11.252186646888816</v>
      </c>
      <c r="J77" s="13">
        <f t="shared" si="79"/>
        <v>8.5847740654279754</v>
      </c>
      <c r="K77" s="13">
        <f t="shared" si="79"/>
        <v>6.9697118127603339</v>
      </c>
      <c r="L77" s="13">
        <f t="shared" si="79"/>
        <v>5.9096269106335644</v>
      </c>
      <c r="M77" s="13">
        <f t="shared" si="79"/>
        <v>5.2166530964799174</v>
      </c>
      <c r="N77" s="13">
        <f t="shared" si="79"/>
        <v>4.7282358599914076</v>
      </c>
      <c r="O77" s="13">
        <f t="shared" si="79"/>
        <v>4.365630484579432</v>
      </c>
    </row>
    <row r="78" spans="1:15" x14ac:dyDescent="0.35">
      <c r="A78" s="11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0.75" hidden="1" customHeight="1" x14ac:dyDescent="0.35">
      <c r="A79" s="11" t="s">
        <v>10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hidden="1" x14ac:dyDescent="0.35">
      <c r="A80" s="9" t="s">
        <v>11</v>
      </c>
      <c r="B80" s="8">
        <f t="shared" ref="B80:O80" si="80">B70</f>
        <v>0</v>
      </c>
      <c r="C80" s="8">
        <f t="shared" si="80"/>
        <v>1987188.8475333336</v>
      </c>
      <c r="D80" s="8">
        <f t="shared" si="80"/>
        <v>2325820.3336316003</v>
      </c>
      <c r="E80" s="8">
        <f t="shared" si="80"/>
        <v>2394177.813219843</v>
      </c>
      <c r="F80" s="8">
        <f t="shared" si="80"/>
        <v>2458953.4868807951</v>
      </c>
      <c r="G80" s="8">
        <f t="shared" si="80"/>
        <v>2521785.1979348785</v>
      </c>
      <c r="H80" s="8">
        <f t="shared" si="80"/>
        <v>2582040.2592880083</v>
      </c>
      <c r="I80" s="8">
        <f t="shared" si="80"/>
        <v>2648132.1076406641</v>
      </c>
      <c r="J80" s="8">
        <f t="shared" si="80"/>
        <v>2723026.5185278426</v>
      </c>
      <c r="K80" s="8">
        <f t="shared" si="80"/>
        <v>2806440.2307327413</v>
      </c>
      <c r="L80" s="8">
        <f t="shared" si="80"/>
        <v>2894405.4504462592</v>
      </c>
      <c r="M80" s="8">
        <f t="shared" si="80"/>
        <v>2980518.7470726608</v>
      </c>
      <c r="N80" s="8">
        <f t="shared" si="80"/>
        <v>3064892.0716533335</v>
      </c>
      <c r="O80" s="8">
        <f t="shared" si="80"/>
        <v>3147634.2256989032</v>
      </c>
    </row>
    <row r="81" spans="1:15" hidden="1" x14ac:dyDescent="0.35">
      <c r="A81" s="9" t="s">
        <v>26</v>
      </c>
      <c r="B81" s="8">
        <f t="shared" ref="B81:O81" si="81">B30</f>
        <v>1406787</v>
      </c>
      <c r="C81" s="8">
        <f t="shared" si="81"/>
        <v>1519468</v>
      </c>
      <c r="D81" s="8">
        <f t="shared" si="81"/>
        <v>1605402.788648</v>
      </c>
      <c r="E81" s="8">
        <f t="shared" si="81"/>
        <v>1659534.8854446884</v>
      </c>
      <c r="F81" s="8">
        <f t="shared" si="81"/>
        <v>1701127.0220746249</v>
      </c>
      <c r="G81" s="8">
        <f t="shared" si="81"/>
        <v>1738551.8165602668</v>
      </c>
      <c r="H81" s="8">
        <f t="shared" si="81"/>
        <v>1773322.8528914719</v>
      </c>
      <c r="I81" s="8">
        <f t="shared" si="81"/>
        <v>1808789.3099493014</v>
      </c>
      <c r="J81" s="8">
        <f t="shared" si="81"/>
        <v>1844965.0961482874</v>
      </c>
      <c r="K81" s="8">
        <f t="shared" si="81"/>
        <v>1881864.3980712532</v>
      </c>
      <c r="L81" s="8">
        <f t="shared" si="81"/>
        <v>1919501.6860326785</v>
      </c>
      <c r="M81" s="8">
        <f t="shared" si="81"/>
        <v>1957891.719753332</v>
      </c>
      <c r="N81" s="8">
        <f t="shared" si="81"/>
        <v>1997049.554148399</v>
      </c>
      <c r="O81" s="8">
        <f t="shared" si="81"/>
        <v>2036990.545231367</v>
      </c>
    </row>
    <row r="82" spans="1:15" hidden="1" x14ac:dyDescent="0.35">
      <c r="A82" s="9" t="s">
        <v>18</v>
      </c>
      <c r="B82" s="8">
        <f t="shared" ref="B82:O82" si="82">B80-B81</f>
        <v>-1406787</v>
      </c>
      <c r="C82" s="8">
        <f t="shared" si="82"/>
        <v>467720.84753333358</v>
      </c>
      <c r="D82" s="8">
        <f t="shared" si="82"/>
        <v>720417.54498360027</v>
      </c>
      <c r="E82" s="8">
        <f t="shared" si="82"/>
        <v>734642.92777515459</v>
      </c>
      <c r="F82" s="8">
        <f t="shared" si="82"/>
        <v>757826.4648061702</v>
      </c>
      <c r="G82" s="8">
        <f t="shared" si="82"/>
        <v>783233.38137461175</v>
      </c>
      <c r="H82" s="8">
        <f t="shared" si="82"/>
        <v>808717.40639653639</v>
      </c>
      <c r="I82" s="8">
        <f t="shared" si="82"/>
        <v>839342.79769136268</v>
      </c>
      <c r="J82" s="8">
        <f t="shared" si="82"/>
        <v>878061.42237955518</v>
      </c>
      <c r="K82" s="8">
        <f t="shared" si="82"/>
        <v>924575.83266148809</v>
      </c>
      <c r="L82" s="8">
        <f t="shared" si="82"/>
        <v>974903.76441358076</v>
      </c>
      <c r="M82" s="8">
        <f t="shared" si="82"/>
        <v>1022627.0273193289</v>
      </c>
      <c r="N82" s="8">
        <f t="shared" si="82"/>
        <v>1067842.5175049345</v>
      </c>
      <c r="O82" s="8">
        <f t="shared" si="82"/>
        <v>1110643.6804675362</v>
      </c>
    </row>
    <row r="83" spans="1:15" hidden="1" x14ac:dyDescent="0.35">
      <c r="A83" s="9" t="s">
        <v>16</v>
      </c>
      <c r="B83" s="8" t="e">
        <f>#REF!+#REF!</f>
        <v>#REF!</v>
      </c>
      <c r="C83" s="8" t="e">
        <f>#REF!+#REF!</f>
        <v>#REF!</v>
      </c>
      <c r="D83" s="8" t="e">
        <f>#REF!+#REF!</f>
        <v>#REF!</v>
      </c>
      <c r="E83" s="8" t="e">
        <f>#REF!+#REF!</f>
        <v>#REF!</v>
      </c>
      <c r="F83" s="8" t="e">
        <f>#REF!+#REF!</f>
        <v>#REF!</v>
      </c>
      <c r="G83" s="8" t="e">
        <f>#REF!+#REF!</f>
        <v>#REF!</v>
      </c>
      <c r="H83" s="8" t="e">
        <f>#REF!+#REF!</f>
        <v>#REF!</v>
      </c>
      <c r="I83" s="8" t="e">
        <f>#REF!+#REF!</f>
        <v>#REF!</v>
      </c>
      <c r="J83" s="8" t="e">
        <f>#REF!+#REF!</f>
        <v>#REF!</v>
      </c>
      <c r="K83" s="8" t="e">
        <f>#REF!+#REF!</f>
        <v>#REF!</v>
      </c>
      <c r="L83" s="8" t="e">
        <f>#REF!+#REF!</f>
        <v>#REF!</v>
      </c>
      <c r="M83" s="8" t="e">
        <f>#REF!+#REF!</f>
        <v>#REF!</v>
      </c>
      <c r="N83" s="8" t="e">
        <f>#REF!+#REF!</f>
        <v>#REF!</v>
      </c>
      <c r="O83" s="8" t="e">
        <f>#REF!+#REF!</f>
        <v>#REF!</v>
      </c>
    </row>
    <row r="84" spans="1:15" ht="15" hidden="1" customHeight="1" x14ac:dyDescent="0.35">
      <c r="A84" s="10" t="s">
        <v>19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 hidden="1" x14ac:dyDescent="0.3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idden="1" x14ac:dyDescent="0.35">
      <c r="A86" s="7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7"/>
      <c r="N86" s="7"/>
      <c r="O86" s="7"/>
    </row>
    <row r="87" spans="1:15" x14ac:dyDescent="0.35">
      <c r="A87" s="10" t="s">
        <v>25</v>
      </c>
      <c r="B87" s="39"/>
      <c r="C87" s="17">
        <v>2024</v>
      </c>
      <c r="D87" s="17">
        <f t="shared" ref="D87" si="83">C87+1</f>
        <v>2025</v>
      </c>
      <c r="E87" s="17">
        <f t="shared" ref="E87" si="84">D87+1</f>
        <v>2026</v>
      </c>
      <c r="F87" s="17">
        <f t="shared" ref="F87" si="85">E87+1</f>
        <v>2027</v>
      </c>
      <c r="G87" s="17">
        <f t="shared" ref="G87" si="86">F87+1</f>
        <v>2028</v>
      </c>
      <c r="H87" s="17">
        <f t="shared" ref="H87" si="87">G87+1</f>
        <v>2029</v>
      </c>
      <c r="I87" s="17">
        <f t="shared" ref="I87" si="88">H87+1</f>
        <v>2030</v>
      </c>
      <c r="J87" s="17">
        <f t="shared" ref="J87" si="89">I87+1</f>
        <v>2031</v>
      </c>
      <c r="K87" s="17">
        <f t="shared" ref="K87" si="90">J87+1</f>
        <v>2032</v>
      </c>
      <c r="L87" s="17">
        <f t="shared" ref="L87" si="91">K87+1</f>
        <v>2033</v>
      </c>
      <c r="M87" s="17">
        <f t="shared" ref="M87" si="92">L87+1</f>
        <v>2034</v>
      </c>
      <c r="N87" s="17">
        <f t="shared" ref="N87" si="93">M87+1</f>
        <v>2035</v>
      </c>
      <c r="O87" s="17">
        <f t="shared" ref="O87" si="94">N87+1</f>
        <v>2036</v>
      </c>
    </row>
    <row r="88" spans="1:15" x14ac:dyDescent="0.35">
      <c r="A88" s="9" t="s">
        <v>11</v>
      </c>
      <c r="B88" s="39"/>
      <c r="C88" s="8">
        <f t="shared" ref="C88:O88" si="95">C70</f>
        <v>1987188.8475333336</v>
      </c>
      <c r="D88" s="8">
        <f t="shared" si="95"/>
        <v>2325820.3336316003</v>
      </c>
      <c r="E88" s="8">
        <f t="shared" si="95"/>
        <v>2394177.813219843</v>
      </c>
      <c r="F88" s="8">
        <f t="shared" si="95"/>
        <v>2458953.4868807951</v>
      </c>
      <c r="G88" s="8">
        <f t="shared" si="95"/>
        <v>2521785.1979348785</v>
      </c>
      <c r="H88" s="8">
        <f t="shared" si="95"/>
        <v>2582040.2592880083</v>
      </c>
      <c r="I88" s="8">
        <f t="shared" si="95"/>
        <v>2648132.1076406641</v>
      </c>
      <c r="J88" s="8">
        <f t="shared" si="95"/>
        <v>2723026.5185278426</v>
      </c>
      <c r="K88" s="8">
        <f t="shared" si="95"/>
        <v>2806440.2307327413</v>
      </c>
      <c r="L88" s="8">
        <f t="shared" si="95"/>
        <v>2894405.4504462592</v>
      </c>
      <c r="M88" s="8">
        <f t="shared" si="95"/>
        <v>2980518.7470726608</v>
      </c>
      <c r="N88" s="8">
        <f t="shared" si="95"/>
        <v>3064892.0716533335</v>
      </c>
      <c r="O88" s="8">
        <f t="shared" si="95"/>
        <v>3147634.2256989032</v>
      </c>
    </row>
    <row r="89" spans="1:15" x14ac:dyDescent="0.35">
      <c r="A89" s="9" t="s">
        <v>20</v>
      </c>
      <c r="B89" s="39"/>
      <c r="C89" s="8">
        <f t="shared" ref="C89:O89" si="96">C30</f>
        <v>1519468</v>
      </c>
      <c r="D89" s="8">
        <f t="shared" si="96"/>
        <v>1605402.788648</v>
      </c>
      <c r="E89" s="8">
        <f t="shared" si="96"/>
        <v>1659534.8854446884</v>
      </c>
      <c r="F89" s="8">
        <f t="shared" si="96"/>
        <v>1701127.0220746249</v>
      </c>
      <c r="G89" s="8">
        <f t="shared" si="96"/>
        <v>1738551.8165602668</v>
      </c>
      <c r="H89" s="8">
        <f t="shared" si="96"/>
        <v>1773322.8528914719</v>
      </c>
      <c r="I89" s="8">
        <f t="shared" si="96"/>
        <v>1808789.3099493014</v>
      </c>
      <c r="J89" s="8">
        <f t="shared" si="96"/>
        <v>1844965.0961482874</v>
      </c>
      <c r="K89" s="8">
        <f t="shared" si="96"/>
        <v>1881864.3980712532</v>
      </c>
      <c r="L89" s="8">
        <f t="shared" si="96"/>
        <v>1919501.6860326785</v>
      </c>
      <c r="M89" s="8">
        <f t="shared" si="96"/>
        <v>1957891.719753332</v>
      </c>
      <c r="N89" s="8">
        <f t="shared" si="96"/>
        <v>1997049.554148399</v>
      </c>
      <c r="O89" s="8">
        <f t="shared" si="96"/>
        <v>2036990.545231367</v>
      </c>
    </row>
    <row r="90" spans="1:15" x14ac:dyDescent="0.35">
      <c r="A90" s="9" t="s">
        <v>23</v>
      </c>
      <c r="B90" s="39"/>
      <c r="C90" s="8">
        <f t="shared" ref="C90:O90" si="97">C32</f>
        <v>353199.57614840002</v>
      </c>
      <c r="D90" s="8">
        <f t="shared" si="97"/>
        <v>358622.38380547817</v>
      </c>
      <c r="E90" s="8">
        <f t="shared" si="97"/>
        <v>365691.87294770381</v>
      </c>
      <c r="F90" s="8">
        <f t="shared" si="97"/>
        <v>374347.21516101563</v>
      </c>
      <c r="G90" s="8">
        <f t="shared" si="97"/>
        <v>384529.82903296774</v>
      </c>
      <c r="H90" s="8">
        <f t="shared" si="97"/>
        <v>396183.29714848992</v>
      </c>
      <c r="I90" s="8">
        <f t="shared" si="97"/>
        <v>411100.28615182469</v>
      </c>
      <c r="J90" s="8">
        <f t="shared" si="97"/>
        <v>429160.24158137629</v>
      </c>
      <c r="K90" s="8">
        <f t="shared" si="97"/>
        <v>450247.06225736026</v>
      </c>
      <c r="L90" s="8">
        <f t="shared" si="97"/>
        <v>470554.93577757338</v>
      </c>
      <c r="M90" s="8">
        <f t="shared" si="97"/>
        <v>490112.63644994982</v>
      </c>
      <c r="N90" s="8">
        <f t="shared" si="97"/>
        <v>508947.87565948867</v>
      </c>
      <c r="O90" s="8">
        <f t="shared" si="97"/>
        <v>527087.3411326271</v>
      </c>
    </row>
    <row r="91" spans="1:15" x14ac:dyDescent="0.35">
      <c r="A91" s="18" t="s">
        <v>24</v>
      </c>
      <c r="B91" s="39"/>
      <c r="C91" s="14">
        <f t="shared" ref="C91:O91" si="98">C88-C89</f>
        <v>467720.84753333358</v>
      </c>
      <c r="D91" s="14">
        <f t="shared" si="98"/>
        <v>720417.54498360027</v>
      </c>
      <c r="E91" s="14">
        <f t="shared" si="98"/>
        <v>734642.92777515459</v>
      </c>
      <c r="F91" s="14">
        <f t="shared" si="98"/>
        <v>757826.4648061702</v>
      </c>
      <c r="G91" s="14">
        <f t="shared" si="98"/>
        <v>783233.38137461175</v>
      </c>
      <c r="H91" s="14">
        <f t="shared" si="98"/>
        <v>808717.40639653639</v>
      </c>
      <c r="I91" s="14">
        <f t="shared" si="98"/>
        <v>839342.79769136268</v>
      </c>
      <c r="J91" s="14">
        <f t="shared" si="98"/>
        <v>878061.42237955518</v>
      </c>
      <c r="K91" s="14">
        <f t="shared" si="98"/>
        <v>924575.83266148809</v>
      </c>
      <c r="L91" s="14">
        <f t="shared" si="98"/>
        <v>974903.76441358076</v>
      </c>
      <c r="M91" s="14">
        <f t="shared" si="98"/>
        <v>1022627.0273193289</v>
      </c>
      <c r="N91" s="14">
        <f t="shared" si="98"/>
        <v>1067842.5175049345</v>
      </c>
      <c r="O91" s="14">
        <f t="shared" si="98"/>
        <v>1110643.6804675362</v>
      </c>
    </row>
    <row r="92" spans="1:15" x14ac:dyDescent="0.35">
      <c r="A92" s="22" t="s">
        <v>30</v>
      </c>
      <c r="B92" s="39"/>
      <c r="C92" s="8">
        <f t="shared" ref="C92:O92" si="99">C88-(C89+C90)</f>
        <v>114521.2713849335</v>
      </c>
      <c r="D92" s="8">
        <f t="shared" si="99"/>
        <v>361795.16117812204</v>
      </c>
      <c r="E92" s="8">
        <f t="shared" si="99"/>
        <v>368951.05482745077</v>
      </c>
      <c r="F92" s="8">
        <f t="shared" si="99"/>
        <v>383479.24964515446</v>
      </c>
      <c r="G92" s="8">
        <f t="shared" si="99"/>
        <v>398703.55234164419</v>
      </c>
      <c r="H92" s="8">
        <f t="shared" si="99"/>
        <v>412534.1092480463</v>
      </c>
      <c r="I92" s="8">
        <f t="shared" si="99"/>
        <v>428242.51153953793</v>
      </c>
      <c r="J92" s="8">
        <f t="shared" si="99"/>
        <v>448901.180798179</v>
      </c>
      <c r="K92" s="8">
        <f t="shared" si="99"/>
        <v>474328.77040412789</v>
      </c>
      <c r="L92" s="8">
        <f t="shared" si="99"/>
        <v>504348.82863600738</v>
      </c>
      <c r="M92" s="8">
        <f t="shared" si="99"/>
        <v>532514.39086937904</v>
      </c>
      <c r="N92" s="8">
        <f t="shared" si="99"/>
        <v>558894.64184544561</v>
      </c>
      <c r="O92" s="8">
        <f t="shared" si="99"/>
        <v>583556.33933490887</v>
      </c>
    </row>
    <row r="94" spans="1:15" x14ac:dyDescent="0.35">
      <c r="A94" s="10" t="s">
        <v>40</v>
      </c>
      <c r="B94" s="7"/>
      <c r="C94" s="17">
        <v>2024</v>
      </c>
      <c r="D94" s="17">
        <f t="shared" ref="D94" si="100">C94+1</f>
        <v>2025</v>
      </c>
      <c r="E94" s="17">
        <f t="shared" ref="E94" si="101">D94+1</f>
        <v>2026</v>
      </c>
      <c r="F94" s="17">
        <f t="shared" ref="F94" si="102">E94+1</f>
        <v>2027</v>
      </c>
      <c r="G94" s="17">
        <f t="shared" ref="G94" si="103">F94+1</f>
        <v>2028</v>
      </c>
      <c r="H94" s="17">
        <f t="shared" ref="H94" si="104">G94+1</f>
        <v>2029</v>
      </c>
      <c r="I94" s="17">
        <f t="shared" ref="I94" si="105">H94+1</f>
        <v>2030</v>
      </c>
      <c r="J94" s="17">
        <f t="shared" ref="J94" si="106">I94+1</f>
        <v>2031</v>
      </c>
      <c r="K94" s="17">
        <f t="shared" ref="K94" si="107">J94+1</f>
        <v>2032</v>
      </c>
      <c r="L94" s="17">
        <f t="shared" ref="L94" si="108">K94+1</f>
        <v>2033</v>
      </c>
      <c r="M94" s="17">
        <f t="shared" ref="M94" si="109">L94+1</f>
        <v>2034</v>
      </c>
      <c r="N94" s="17">
        <f t="shared" ref="N94" si="110">M94+1</f>
        <v>2035</v>
      </c>
      <c r="O94" s="17">
        <f t="shared" ref="O94" si="111">N94+1</f>
        <v>2036</v>
      </c>
    </row>
    <row r="95" spans="1:15" x14ac:dyDescent="0.35">
      <c r="A95" s="9" t="s">
        <v>41</v>
      </c>
      <c r="B95" s="7"/>
      <c r="C95" s="24">
        <f>C70</f>
        <v>1987188.8475333336</v>
      </c>
      <c r="D95" s="24">
        <f t="shared" ref="D95:O95" si="112">D70</f>
        <v>2325820.3336316003</v>
      </c>
      <c r="E95" s="24">
        <f t="shared" si="112"/>
        <v>2394177.813219843</v>
      </c>
      <c r="F95" s="24">
        <f t="shared" si="112"/>
        <v>2458953.4868807951</v>
      </c>
      <c r="G95" s="24">
        <f t="shared" si="112"/>
        <v>2521785.1979348785</v>
      </c>
      <c r="H95" s="24">
        <f t="shared" si="112"/>
        <v>2582040.2592880083</v>
      </c>
      <c r="I95" s="24">
        <f t="shared" si="112"/>
        <v>2648132.1076406641</v>
      </c>
      <c r="J95" s="24">
        <f t="shared" si="112"/>
        <v>2723026.5185278426</v>
      </c>
      <c r="K95" s="24">
        <f t="shared" si="112"/>
        <v>2806440.2307327413</v>
      </c>
      <c r="L95" s="24">
        <f t="shared" si="112"/>
        <v>2894405.4504462592</v>
      </c>
      <c r="M95" s="24">
        <f t="shared" si="112"/>
        <v>2980518.7470726608</v>
      </c>
      <c r="N95" s="24">
        <f t="shared" si="112"/>
        <v>3064892.0716533335</v>
      </c>
      <c r="O95" s="24">
        <f t="shared" si="112"/>
        <v>3147634.2256989032</v>
      </c>
    </row>
    <row r="96" spans="1:15" ht="14.4" customHeight="1" x14ac:dyDescent="0.35">
      <c r="A96" s="56" t="s">
        <v>71</v>
      </c>
      <c r="C96" s="44">
        <v>0</v>
      </c>
      <c r="D96" s="44">
        <v>0</v>
      </c>
      <c r="E96" s="44">
        <v>0</v>
      </c>
      <c r="F96" s="44">
        <f>F99/4</f>
        <v>150000</v>
      </c>
      <c r="G96" s="44">
        <f t="shared" ref="G96:J96" si="113">G99/4</f>
        <v>162500</v>
      </c>
      <c r="H96" s="44">
        <f t="shared" si="113"/>
        <v>175000</v>
      </c>
      <c r="I96" s="44">
        <f t="shared" si="113"/>
        <v>200000</v>
      </c>
      <c r="J96" s="44">
        <f t="shared" si="113"/>
        <v>225000</v>
      </c>
      <c r="K96" s="44">
        <f t="shared" ref="K96:O96" si="114">K99/4</f>
        <v>250000</v>
      </c>
      <c r="L96" s="44">
        <f t="shared" si="114"/>
        <v>250000</v>
      </c>
      <c r="M96" s="44">
        <f t="shared" si="114"/>
        <v>250000</v>
      </c>
      <c r="N96" s="44">
        <f t="shared" si="114"/>
        <v>250000</v>
      </c>
      <c r="O96" s="44">
        <f t="shared" si="114"/>
        <v>250000</v>
      </c>
    </row>
    <row r="97" spans="1:15" ht="14.4" customHeight="1" x14ac:dyDescent="0.35">
      <c r="A97" s="56" t="s">
        <v>73</v>
      </c>
      <c r="C97" s="44">
        <f>210032.4</f>
        <v>210032.4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</row>
    <row r="98" spans="1:15" x14ac:dyDescent="0.35">
      <c r="A98" s="9" t="s">
        <v>42</v>
      </c>
      <c r="B98" s="7"/>
      <c r="C98" s="24">
        <f>C30</f>
        <v>1519468</v>
      </c>
      <c r="D98" s="24">
        <f t="shared" ref="D98:O98" si="115">D30</f>
        <v>1605402.788648</v>
      </c>
      <c r="E98" s="24">
        <f t="shared" si="115"/>
        <v>1659534.8854446884</v>
      </c>
      <c r="F98" s="24">
        <f t="shared" si="115"/>
        <v>1701127.0220746249</v>
      </c>
      <c r="G98" s="24">
        <f t="shared" si="115"/>
        <v>1738551.8165602668</v>
      </c>
      <c r="H98" s="24">
        <f t="shared" si="115"/>
        <v>1773322.8528914719</v>
      </c>
      <c r="I98" s="24">
        <f t="shared" si="115"/>
        <v>1808789.3099493014</v>
      </c>
      <c r="J98" s="24">
        <f t="shared" si="115"/>
        <v>1844965.0961482874</v>
      </c>
      <c r="K98" s="24">
        <f t="shared" si="115"/>
        <v>1881864.3980712532</v>
      </c>
      <c r="L98" s="24">
        <f t="shared" si="115"/>
        <v>1919501.6860326785</v>
      </c>
      <c r="M98" s="24">
        <f t="shared" si="115"/>
        <v>1957891.719753332</v>
      </c>
      <c r="N98" s="24">
        <f t="shared" si="115"/>
        <v>1997049.554148399</v>
      </c>
      <c r="O98" s="24">
        <f t="shared" si="115"/>
        <v>2036990.545231367</v>
      </c>
    </row>
    <row r="99" spans="1:15" x14ac:dyDescent="0.35">
      <c r="A99" s="9" t="s">
        <v>43</v>
      </c>
      <c r="B99" s="7"/>
      <c r="C99" s="40">
        <v>569000</v>
      </c>
      <c r="D99" s="24">
        <v>500000</v>
      </c>
      <c r="E99" s="24">
        <v>550000</v>
      </c>
      <c r="F99" s="24">
        <v>600000</v>
      </c>
      <c r="G99" s="24">
        <v>650000</v>
      </c>
      <c r="H99" s="24">
        <v>700000</v>
      </c>
      <c r="I99" s="24">
        <v>800000</v>
      </c>
      <c r="J99" s="24">
        <v>900000</v>
      </c>
      <c r="K99" s="24">
        <v>1000000</v>
      </c>
      <c r="L99" s="24">
        <v>1000000</v>
      </c>
      <c r="M99" s="24">
        <v>1000000</v>
      </c>
      <c r="N99" s="24">
        <v>1000000</v>
      </c>
      <c r="O99" s="24">
        <v>1000000</v>
      </c>
    </row>
    <row r="100" spans="1:15" x14ac:dyDescent="0.35">
      <c r="A100" s="9" t="s">
        <v>46</v>
      </c>
      <c r="B100" s="7"/>
      <c r="C100" s="24">
        <v>108753.25</v>
      </c>
      <c r="D100" s="24">
        <v>122200.875</v>
      </c>
      <c r="E100" s="24">
        <v>118481.625</v>
      </c>
      <c r="F100" s="24">
        <v>121520.375</v>
      </c>
      <c r="G100" s="24">
        <v>138881.625</v>
      </c>
      <c r="H100" s="24">
        <v>67855.625</v>
      </c>
      <c r="I100" s="24">
        <v>92019.375</v>
      </c>
      <c r="J100" s="24">
        <v>118995.625</v>
      </c>
      <c r="K100" s="24">
        <v>148659.375</v>
      </c>
      <c r="L100" s="24">
        <v>180260.625</v>
      </c>
      <c r="M100" s="24">
        <v>210611.875</v>
      </c>
      <c r="N100" s="24">
        <v>240068.75</v>
      </c>
      <c r="O100" s="24">
        <v>268631.25</v>
      </c>
    </row>
    <row r="101" spans="1:15" x14ac:dyDescent="0.35">
      <c r="A101" s="9" t="s">
        <v>44</v>
      </c>
      <c r="B101" s="7"/>
      <c r="C101" s="24">
        <f>C95+C96+C97-C98-C99-C100</f>
        <v>-2.4666665121912956E-3</v>
      </c>
      <c r="D101" s="24">
        <f t="shared" ref="D101:O101" si="116">D95+D96-D98-D99-D100</f>
        <v>98216.669983600266</v>
      </c>
      <c r="E101" s="24">
        <f t="shared" si="116"/>
        <v>66161.302775154589</v>
      </c>
      <c r="F101" s="24">
        <f t="shared" si="116"/>
        <v>186306.0898061702</v>
      </c>
      <c r="G101" s="24">
        <f t="shared" si="116"/>
        <v>156851.75637461175</v>
      </c>
      <c r="H101" s="24">
        <f t="shared" si="116"/>
        <v>215861.78139653639</v>
      </c>
      <c r="I101" s="24">
        <f t="shared" si="116"/>
        <v>147323.42269136268</v>
      </c>
      <c r="J101" s="24">
        <f t="shared" si="116"/>
        <v>84065.797379555181</v>
      </c>
      <c r="K101" s="24">
        <f t="shared" si="116"/>
        <v>25916.457661488093</v>
      </c>
      <c r="L101" s="24">
        <f t="shared" si="116"/>
        <v>44643.139413580764</v>
      </c>
      <c r="M101" s="24">
        <f t="shared" si="116"/>
        <v>62015.152319328859</v>
      </c>
      <c r="N101" s="24">
        <f t="shared" si="116"/>
        <v>77773.767504934454</v>
      </c>
      <c r="O101" s="24">
        <f t="shared" si="116"/>
        <v>92012.430467536207</v>
      </c>
    </row>
    <row r="102" spans="1:15" x14ac:dyDescent="0.35">
      <c r="A102" s="9" t="s">
        <v>45</v>
      </c>
      <c r="B102" s="7"/>
      <c r="C102" s="24">
        <f>C101</f>
        <v>-2.4666665121912956E-3</v>
      </c>
      <c r="D102" s="24">
        <f>C102+D101</f>
        <v>98216.667516933754</v>
      </c>
      <c r="E102" s="24">
        <f t="shared" ref="E102:O102" si="117">D102+E101</f>
        <v>164377.97029208834</v>
      </c>
      <c r="F102" s="24">
        <f t="shared" si="117"/>
        <v>350684.06009825855</v>
      </c>
      <c r="G102" s="24">
        <f t="shared" si="117"/>
        <v>507535.8164728703</v>
      </c>
      <c r="H102" s="24">
        <f t="shared" si="117"/>
        <v>723397.59786940669</v>
      </c>
      <c r="I102" s="24">
        <f t="shared" si="117"/>
        <v>870721.02056076936</v>
      </c>
      <c r="J102" s="24">
        <f t="shared" si="117"/>
        <v>954786.81794032454</v>
      </c>
      <c r="K102" s="24">
        <f t="shared" si="117"/>
        <v>980703.27560181264</v>
      </c>
      <c r="L102" s="24">
        <f t="shared" si="117"/>
        <v>1025346.4150153934</v>
      </c>
      <c r="M102" s="24">
        <f t="shared" si="117"/>
        <v>1087361.5673347223</v>
      </c>
      <c r="N102" s="24">
        <f t="shared" si="117"/>
        <v>1165135.3348396567</v>
      </c>
      <c r="O102" s="24">
        <f t="shared" si="117"/>
        <v>1257147.7653071929</v>
      </c>
    </row>
  </sheetData>
  <pageMargins left="0.7" right="0.7" top="0.75" bottom="0.75" header="0.3" footer="0.3"/>
  <pageSetup paperSize="9" orientation="portrait" r:id="rId1"/>
  <ignoredErrors>
    <ignoredError sqref="H23 D41:O41" formula="1"/>
    <ignoredError sqref="C92:O92 B9 D9:O9" evalError="1"/>
    <ignoredError sqref="B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HAAPSALU VEEVÄRK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2024-10-09T14:15:53Z</dcterms:modified>
</cp:coreProperties>
</file>